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codeName="ThisWorkbook" autoCompressPictures="0"/>
  <bookViews>
    <workbookView xWindow="9820" yWindow="1160" windowWidth="19520" windowHeight="16580" tabRatio="663" activeTab="2"/>
  </bookViews>
  <sheets>
    <sheet name="Parameters" sheetId="3" r:id="rId1"/>
    <sheet name="ECC81" sheetId="4" r:id="rId2"/>
    <sheet name="ECC82" sheetId="5" r:id="rId3"/>
    <sheet name="ECC83" sheetId="6" r:id="rId4"/>
    <sheet name="E88CC" sheetId="12" r:id="rId5"/>
    <sheet name="12AY7" sheetId="8" r:id="rId6"/>
    <sheet name="Freq' Response" sheetId="13" r:id="rId7"/>
    <sheet name="Valve Spec" sheetId="2" r:id="rId8"/>
    <sheet name="Graph Data" sheetId="1" r:id="rId9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3" i="3" l="1"/>
  <c r="H13" i="3"/>
  <c r="B13" i="3"/>
  <c r="G13" i="3"/>
  <c r="C13" i="3"/>
  <c r="D13" i="3"/>
  <c r="F13" i="3"/>
  <c r="I13" i="3"/>
  <c r="J13" i="3"/>
  <c r="K13" i="3"/>
  <c r="L13" i="3"/>
  <c r="M13" i="3"/>
  <c r="E14" i="3"/>
  <c r="H14" i="3"/>
  <c r="B14" i="3"/>
  <c r="G14" i="3"/>
  <c r="C14" i="3"/>
  <c r="D14" i="3"/>
  <c r="F14" i="3"/>
  <c r="I14" i="3"/>
  <c r="J14" i="3"/>
  <c r="K14" i="3"/>
  <c r="L14" i="3"/>
  <c r="M14" i="3"/>
  <c r="E15" i="3"/>
  <c r="H15" i="3"/>
  <c r="B15" i="3"/>
  <c r="G15" i="3"/>
  <c r="C15" i="3"/>
  <c r="D15" i="3"/>
  <c r="F15" i="3"/>
  <c r="I15" i="3"/>
  <c r="J15" i="3"/>
  <c r="K15" i="3"/>
  <c r="L15" i="3"/>
  <c r="M15" i="3"/>
  <c r="E16" i="3"/>
  <c r="H16" i="3"/>
  <c r="B16" i="3"/>
  <c r="G16" i="3"/>
  <c r="C16" i="3"/>
  <c r="D16" i="3"/>
  <c r="F16" i="3"/>
  <c r="I16" i="3"/>
  <c r="J16" i="3"/>
  <c r="K16" i="3"/>
  <c r="L16" i="3"/>
  <c r="M16" i="3"/>
  <c r="E17" i="3"/>
  <c r="H17" i="3"/>
  <c r="B17" i="3"/>
  <c r="G17" i="3"/>
  <c r="C17" i="3"/>
  <c r="D17" i="3"/>
  <c r="F17" i="3"/>
  <c r="I17" i="3"/>
  <c r="J17" i="3"/>
  <c r="K17" i="3"/>
  <c r="L17" i="3"/>
  <c r="M17" i="3"/>
  <c r="Z5" i="1" a="1"/>
  <c r="Z5" i="1"/>
  <c r="AA5" i="1"/>
  <c r="AB5" i="1"/>
  <c r="AD5" i="1"/>
  <c r="AC5" i="1"/>
  <c r="Z6" i="1" a="1"/>
  <c r="Z6" i="1"/>
  <c r="AA6" i="1"/>
  <c r="AB6" i="1"/>
  <c r="AD6" i="1"/>
  <c r="AC6" i="1"/>
  <c r="AE6" i="1"/>
  <c r="Z7" i="1" a="1"/>
  <c r="Z7" i="1"/>
  <c r="AA7" i="1"/>
  <c r="AB7" i="1"/>
  <c r="AD7" i="1"/>
  <c r="AC7" i="1"/>
  <c r="AE7" i="1"/>
  <c r="Z8" i="1" a="1"/>
  <c r="Z8" i="1"/>
  <c r="AA8" i="1"/>
  <c r="AB8" i="1"/>
  <c r="AD8" i="1"/>
  <c r="AC8" i="1"/>
  <c r="AE8" i="1"/>
  <c r="Z9" i="1" a="1"/>
  <c r="Z9" i="1"/>
  <c r="AA9" i="1"/>
  <c r="AB9" i="1"/>
  <c r="AD9" i="1"/>
  <c r="AC9" i="1"/>
  <c r="AE9" i="1"/>
  <c r="Z10" i="1" a="1"/>
  <c r="Z10" i="1"/>
  <c r="AA10" i="1"/>
  <c r="AB10" i="1"/>
  <c r="AD10" i="1"/>
  <c r="AC10" i="1"/>
  <c r="AE10" i="1"/>
  <c r="A11" i="1"/>
  <c r="Z11" i="1" a="1"/>
  <c r="Z11" i="1"/>
  <c r="AA11" i="1"/>
  <c r="AB11" i="1"/>
  <c r="AD11" i="1"/>
  <c r="AC11" i="1"/>
  <c r="AE11" i="1"/>
  <c r="Z12" i="1" a="1"/>
  <c r="Z12" i="1"/>
  <c r="AA12" i="1"/>
  <c r="AB12" i="1"/>
  <c r="AD12" i="1"/>
  <c r="AC12" i="1"/>
  <c r="AE12" i="1"/>
  <c r="Z13" i="1" a="1"/>
  <c r="Z13" i="1"/>
  <c r="AA13" i="1"/>
  <c r="AB13" i="1"/>
  <c r="AD13" i="1"/>
  <c r="AC13" i="1"/>
  <c r="AE13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C23" i="1"/>
  <c r="C24" i="1"/>
  <c r="C22" i="1"/>
  <c r="D23" i="1"/>
  <c r="D24" i="1"/>
  <c r="D22" i="1"/>
  <c r="E23" i="1"/>
  <c r="E24" i="1"/>
  <c r="E22" i="1"/>
  <c r="F23" i="1"/>
  <c r="F24" i="1"/>
  <c r="F22" i="1"/>
  <c r="G23" i="1"/>
  <c r="G24" i="1"/>
  <c r="G22" i="1"/>
  <c r="H23" i="1"/>
  <c r="H24" i="1"/>
  <c r="H22" i="1"/>
  <c r="I23" i="1"/>
  <c r="I24" i="1"/>
  <c r="I22" i="1"/>
  <c r="J23" i="1"/>
  <c r="J24" i="1"/>
  <c r="J22" i="1"/>
  <c r="K23" i="1"/>
  <c r="K24" i="1"/>
  <c r="K22" i="1"/>
  <c r="L23" i="1"/>
  <c r="L24" i="1"/>
  <c r="L22" i="1"/>
  <c r="M23" i="1"/>
  <c r="M24" i="1"/>
  <c r="M22" i="1"/>
  <c r="N23" i="1"/>
  <c r="N24" i="1"/>
  <c r="N22" i="1"/>
  <c r="O23" i="1"/>
  <c r="O24" i="1"/>
  <c r="O22" i="1"/>
  <c r="P23" i="1"/>
  <c r="P24" i="1"/>
  <c r="P22" i="1"/>
  <c r="Q23" i="1"/>
  <c r="Q24" i="1"/>
  <c r="Q22" i="1"/>
  <c r="R23" i="1"/>
  <c r="R24" i="1"/>
  <c r="R22" i="1"/>
  <c r="S23" i="1"/>
  <c r="S24" i="1"/>
  <c r="S22" i="1"/>
  <c r="T23" i="1"/>
  <c r="T24" i="1"/>
  <c r="T22" i="1"/>
  <c r="U23" i="1"/>
  <c r="U24" i="1"/>
  <c r="U22" i="1"/>
  <c r="V23" i="1"/>
  <c r="V24" i="1"/>
  <c r="V22" i="1"/>
  <c r="W23" i="1"/>
  <c r="W24" i="1"/>
  <c r="W22" i="1"/>
  <c r="X23" i="1"/>
  <c r="X24" i="1"/>
  <c r="X22" i="1"/>
  <c r="Y23" i="1"/>
  <c r="Y24" i="1"/>
  <c r="Y22" i="1"/>
  <c r="Z23" i="1"/>
  <c r="Z24" i="1"/>
  <c r="Z22" i="1"/>
  <c r="AA23" i="1"/>
  <c r="AA24" i="1"/>
  <c r="AA22" i="1"/>
  <c r="AB23" i="1"/>
  <c r="AB24" i="1"/>
  <c r="AB22" i="1"/>
  <c r="AC23" i="1"/>
  <c r="AC24" i="1"/>
  <c r="AC22" i="1"/>
  <c r="AD23" i="1"/>
  <c r="AD24" i="1"/>
  <c r="AD22" i="1"/>
  <c r="AE23" i="1"/>
  <c r="AE24" i="1"/>
  <c r="AE22" i="1"/>
  <c r="AF23" i="1"/>
  <c r="AF24" i="1"/>
  <c r="AF22" i="1"/>
  <c r="AG23" i="1"/>
  <c r="AG24" i="1"/>
  <c r="AG22" i="1"/>
  <c r="AH23" i="1"/>
  <c r="AH24" i="1"/>
  <c r="AH22" i="1"/>
  <c r="AI23" i="1"/>
  <c r="AI24" i="1"/>
  <c r="AI22" i="1"/>
  <c r="AJ23" i="1"/>
  <c r="AJ24" i="1"/>
  <c r="AJ22" i="1"/>
  <c r="AK23" i="1"/>
  <c r="AK24" i="1"/>
  <c r="AK22" i="1"/>
  <c r="AL23" i="1"/>
  <c r="AL24" i="1"/>
  <c r="AL22" i="1"/>
  <c r="AM23" i="1"/>
  <c r="AM24" i="1"/>
  <c r="AM22" i="1"/>
  <c r="AN23" i="1"/>
  <c r="AN24" i="1"/>
  <c r="AN22" i="1"/>
  <c r="AO23" i="1"/>
  <c r="AO24" i="1"/>
  <c r="AO22" i="1"/>
  <c r="AP23" i="1"/>
  <c r="AP24" i="1"/>
  <c r="AP22" i="1"/>
  <c r="AQ23" i="1"/>
  <c r="AQ24" i="1"/>
  <c r="AQ22" i="1"/>
  <c r="AR23" i="1"/>
  <c r="AR24" i="1"/>
  <c r="AR22" i="1"/>
  <c r="AS23" i="1"/>
  <c r="AS24" i="1"/>
  <c r="AS22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Z29" i="1" a="1"/>
  <c r="Z29" i="1"/>
  <c r="AA29" i="1"/>
  <c r="AB29" i="1"/>
  <c r="AD29" i="1"/>
  <c r="AC29" i="1"/>
  <c r="Z30" i="1" a="1"/>
  <c r="Z30" i="1"/>
  <c r="AA30" i="1"/>
  <c r="AB30" i="1"/>
  <c r="AD30" i="1"/>
  <c r="AC30" i="1"/>
  <c r="AE30" i="1"/>
  <c r="Z31" i="1" a="1"/>
  <c r="Z31" i="1"/>
  <c r="AA31" i="1"/>
  <c r="AB31" i="1"/>
  <c r="AD31" i="1"/>
  <c r="AC31" i="1"/>
  <c r="AE31" i="1"/>
  <c r="Z32" i="1" a="1"/>
  <c r="Z32" i="1"/>
  <c r="AA32" i="1"/>
  <c r="AB32" i="1"/>
  <c r="AD32" i="1"/>
  <c r="AC32" i="1"/>
  <c r="AE32" i="1"/>
  <c r="Z33" i="1" a="1"/>
  <c r="Z33" i="1"/>
  <c r="AA33" i="1"/>
  <c r="AB33" i="1"/>
  <c r="AD33" i="1"/>
  <c r="AC33" i="1"/>
  <c r="AE33" i="1"/>
  <c r="Z34" i="1" a="1"/>
  <c r="Z34" i="1"/>
  <c r="AA34" i="1"/>
  <c r="AB34" i="1"/>
  <c r="AD34" i="1"/>
  <c r="AC34" i="1"/>
  <c r="AE34" i="1"/>
  <c r="Z35" i="1" a="1"/>
  <c r="Z35" i="1"/>
  <c r="AA35" i="1"/>
  <c r="AB35" i="1"/>
  <c r="AD35" i="1"/>
  <c r="AC35" i="1"/>
  <c r="AE35" i="1"/>
  <c r="Z36" i="1" a="1"/>
  <c r="Z36" i="1"/>
  <c r="AA36" i="1"/>
  <c r="AB36" i="1"/>
  <c r="AD36" i="1"/>
  <c r="AC36" i="1"/>
  <c r="AE36" i="1"/>
  <c r="Z37" i="1" a="1"/>
  <c r="Z37" i="1"/>
  <c r="AA37" i="1"/>
  <c r="AB37" i="1"/>
  <c r="AD37" i="1"/>
  <c r="AC37" i="1"/>
  <c r="AE37" i="1"/>
  <c r="Z38" i="1" a="1"/>
  <c r="Z38" i="1"/>
  <c r="AA38" i="1"/>
  <c r="AB38" i="1"/>
  <c r="AD38" i="1"/>
  <c r="AC38" i="1"/>
  <c r="AE38" i="1"/>
  <c r="Z39" i="1" a="1"/>
  <c r="Z39" i="1"/>
  <c r="AA39" i="1"/>
  <c r="AB39" i="1"/>
  <c r="AD39" i="1"/>
  <c r="AC39" i="1"/>
  <c r="AE39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Z55" i="1" a="1"/>
  <c r="Z55" i="1"/>
  <c r="AA55" i="1"/>
  <c r="AB55" i="1"/>
  <c r="AD55" i="1"/>
  <c r="AC55" i="1"/>
  <c r="Z56" i="1" a="1"/>
  <c r="Z56" i="1"/>
  <c r="AA56" i="1"/>
  <c r="AB56" i="1"/>
  <c r="AD56" i="1"/>
  <c r="AC56" i="1"/>
  <c r="AE56" i="1"/>
  <c r="Z57" i="1" a="1"/>
  <c r="Z57" i="1"/>
  <c r="AA57" i="1"/>
  <c r="AB57" i="1"/>
  <c r="AD57" i="1"/>
  <c r="AC57" i="1"/>
  <c r="AE57" i="1"/>
  <c r="Z58" i="1" a="1"/>
  <c r="Z58" i="1"/>
  <c r="AA58" i="1"/>
  <c r="AB58" i="1"/>
  <c r="AD58" i="1"/>
  <c r="AC58" i="1"/>
  <c r="AE58" i="1"/>
  <c r="Z59" i="1" a="1"/>
  <c r="Z59" i="1"/>
  <c r="AA59" i="1"/>
  <c r="AB59" i="1"/>
  <c r="AD59" i="1"/>
  <c r="AC59" i="1"/>
  <c r="AE59" i="1"/>
  <c r="Z60" i="1" a="1"/>
  <c r="Z60" i="1"/>
  <c r="AA60" i="1"/>
  <c r="AB60" i="1"/>
  <c r="AD60" i="1"/>
  <c r="AC60" i="1"/>
  <c r="AE60" i="1"/>
  <c r="Z61" i="1" a="1"/>
  <c r="Z61" i="1"/>
  <c r="AA61" i="1"/>
  <c r="AB61" i="1"/>
  <c r="AD61" i="1"/>
  <c r="AC61" i="1"/>
  <c r="AE61" i="1"/>
  <c r="Z62" i="1" a="1"/>
  <c r="Z62" i="1"/>
  <c r="AA62" i="1"/>
  <c r="AB62" i="1"/>
  <c r="AD62" i="1"/>
  <c r="AC62" i="1"/>
  <c r="AE62" i="1"/>
  <c r="Z63" i="1" a="1"/>
  <c r="Z63" i="1"/>
  <c r="AA63" i="1"/>
  <c r="AB63" i="1"/>
  <c r="AD63" i="1"/>
  <c r="AC63" i="1"/>
  <c r="AE63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Z79" i="1" a="1"/>
  <c r="Z79" i="1"/>
  <c r="AA79" i="1"/>
  <c r="AB79" i="1"/>
  <c r="AD79" i="1"/>
  <c r="AC79" i="1"/>
  <c r="Z80" i="1" a="1"/>
  <c r="Z80" i="1"/>
  <c r="AA80" i="1"/>
  <c r="AB80" i="1"/>
  <c r="AD80" i="1"/>
  <c r="AC80" i="1"/>
  <c r="AE80" i="1"/>
  <c r="Z81" i="1" a="1"/>
  <c r="Z81" i="1"/>
  <c r="AA81" i="1"/>
  <c r="AB81" i="1"/>
  <c r="AD81" i="1"/>
  <c r="AC81" i="1"/>
  <c r="AE81" i="1"/>
  <c r="Z82" i="1" a="1"/>
  <c r="Z82" i="1"/>
  <c r="AA82" i="1"/>
  <c r="AB82" i="1"/>
  <c r="AD82" i="1"/>
  <c r="AC82" i="1"/>
  <c r="AE82" i="1"/>
  <c r="Z83" i="1" a="1"/>
  <c r="Z83" i="1"/>
  <c r="AA83" i="1"/>
  <c r="AB83" i="1"/>
  <c r="AD83" i="1"/>
  <c r="AC83" i="1"/>
  <c r="AE83" i="1"/>
  <c r="Z84" i="1" a="1"/>
  <c r="Z84" i="1"/>
  <c r="AA84" i="1"/>
  <c r="AB84" i="1"/>
  <c r="AD84" i="1"/>
  <c r="AC84" i="1"/>
  <c r="AE84" i="1"/>
  <c r="Z85" i="1" a="1"/>
  <c r="Z85" i="1"/>
  <c r="AA85" i="1"/>
  <c r="AB85" i="1"/>
  <c r="AD85" i="1"/>
  <c r="AC85" i="1"/>
  <c r="AE85" i="1"/>
  <c r="Z86" i="1" a="1"/>
  <c r="Z86" i="1"/>
  <c r="AA86" i="1"/>
  <c r="AB86" i="1"/>
  <c r="AD86" i="1"/>
  <c r="AC86" i="1"/>
  <c r="AE86" i="1"/>
  <c r="Z87" i="1" a="1"/>
  <c r="Z87" i="1"/>
  <c r="AA87" i="1"/>
  <c r="AB87" i="1"/>
  <c r="AD87" i="1"/>
  <c r="AC87" i="1"/>
  <c r="AE87" i="1"/>
  <c r="Z88" i="1" a="1"/>
  <c r="Z88" i="1"/>
  <c r="AA88" i="1"/>
  <c r="AB88" i="1"/>
  <c r="AD88" i="1"/>
  <c r="AC88" i="1"/>
  <c r="AE88" i="1"/>
  <c r="Z89" i="1" a="1"/>
  <c r="Z89" i="1"/>
  <c r="AA89" i="1"/>
  <c r="AB89" i="1"/>
  <c r="AD89" i="1"/>
  <c r="AC89" i="1"/>
  <c r="AE89" i="1"/>
  <c r="D91" i="1"/>
  <c r="E91" i="1"/>
  <c r="F91" i="1"/>
  <c r="G91" i="1"/>
  <c r="H91" i="1"/>
  <c r="I91" i="1"/>
  <c r="J91" i="1"/>
  <c r="K91" i="1"/>
  <c r="L91" i="1"/>
  <c r="M91" i="1"/>
  <c r="N91" i="1"/>
  <c r="O91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C98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C99" i="1"/>
  <c r="D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Z105" i="1" a="1"/>
  <c r="Z105" i="1"/>
  <c r="AA105" i="1"/>
  <c r="AB105" i="1"/>
  <c r="AD105" i="1"/>
  <c r="AC105" i="1"/>
  <c r="Z106" i="1" a="1"/>
  <c r="Z106" i="1"/>
  <c r="AA106" i="1"/>
  <c r="AB106" i="1"/>
  <c r="AD106" i="1"/>
  <c r="AC106" i="1"/>
  <c r="AE106" i="1"/>
  <c r="Z107" i="1" a="1"/>
  <c r="Z107" i="1"/>
  <c r="AA107" i="1"/>
  <c r="AB107" i="1"/>
  <c r="AD107" i="1"/>
  <c r="AC107" i="1"/>
  <c r="AE107" i="1"/>
  <c r="Z108" i="1" a="1"/>
  <c r="Z108" i="1"/>
  <c r="AA108" i="1"/>
  <c r="AB108" i="1"/>
  <c r="AD108" i="1"/>
  <c r="AC108" i="1"/>
  <c r="AE108" i="1"/>
  <c r="Z109" i="1" a="1"/>
  <c r="Z109" i="1"/>
  <c r="AA109" i="1"/>
  <c r="AB109" i="1"/>
  <c r="AD109" i="1"/>
  <c r="AC109" i="1"/>
  <c r="AE109" i="1"/>
  <c r="Z110" i="1" a="1"/>
  <c r="Z110" i="1"/>
  <c r="AA110" i="1"/>
  <c r="AB110" i="1"/>
  <c r="AD110" i="1"/>
  <c r="AC110" i="1"/>
  <c r="AE110" i="1"/>
  <c r="Z111" i="1" a="1"/>
  <c r="Z111" i="1"/>
  <c r="AA111" i="1"/>
  <c r="AB111" i="1"/>
  <c r="AD111" i="1"/>
  <c r="AC111" i="1"/>
  <c r="AE111" i="1"/>
  <c r="Z112" i="1" a="1"/>
  <c r="Z112" i="1"/>
  <c r="AA112" i="1"/>
  <c r="AB112" i="1"/>
  <c r="AD112" i="1"/>
  <c r="AC112" i="1"/>
  <c r="AE112" i="1"/>
  <c r="Z113" i="1" a="1"/>
  <c r="Z113" i="1"/>
  <c r="AA113" i="1"/>
  <c r="AB113" i="1"/>
  <c r="AD113" i="1"/>
  <c r="AC113" i="1"/>
  <c r="AE113" i="1"/>
  <c r="Z114" i="1" a="1"/>
  <c r="Z114" i="1"/>
  <c r="AA114" i="1"/>
  <c r="AB114" i="1"/>
  <c r="AD114" i="1"/>
  <c r="AC114" i="1"/>
  <c r="AE114" i="1"/>
  <c r="Z115" i="1" a="1"/>
  <c r="Z115" i="1"/>
  <c r="AA115" i="1"/>
  <c r="AB115" i="1"/>
  <c r="AD115" i="1"/>
  <c r="AC115" i="1"/>
  <c r="AE115" i="1"/>
  <c r="Z116" i="1" a="1"/>
  <c r="Z116" i="1"/>
  <c r="AA116" i="1"/>
  <c r="AB116" i="1"/>
  <c r="AD116" i="1"/>
  <c r="AC116" i="1"/>
  <c r="AE116" i="1"/>
  <c r="Z117" i="1" a="1"/>
  <c r="Z117" i="1"/>
  <c r="AA117" i="1"/>
  <c r="AB117" i="1"/>
  <c r="AD117" i="1"/>
  <c r="AC117" i="1"/>
  <c r="AE117" i="1"/>
  <c r="D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D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C122" i="1"/>
  <c r="D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C123" i="1"/>
  <c r="D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C124" i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C126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C127" i="1"/>
  <c r="D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C128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C129" i="1"/>
  <c r="D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C132" i="1"/>
  <c r="B133" i="1"/>
</calcChain>
</file>

<file path=xl/sharedStrings.xml><?xml version="1.0" encoding="utf-8"?>
<sst xmlns="http://schemas.openxmlformats.org/spreadsheetml/2006/main" count="161" uniqueCount="61">
  <si>
    <t>Vg =0</t>
  </si>
  <si>
    <t>Pmax (W)</t>
  </si>
  <si>
    <t>ECC81</t>
  </si>
  <si>
    <t>Ia (mA)</t>
  </si>
  <si>
    <t>Ra (Ohms)</t>
  </si>
  <si>
    <t>Rk (Ohms)</t>
  </si>
  <si>
    <t>Rg (Ohms)</t>
  </si>
  <si>
    <t>Ck (uF)</t>
  </si>
  <si>
    <t>mu</t>
  </si>
  <si>
    <t>Anode output impedance (Ohms)</t>
  </si>
  <si>
    <t>Cathode ouput impedance (Ohms)</t>
  </si>
  <si>
    <t>ECC82</t>
  </si>
  <si>
    <t>ECC83</t>
  </si>
  <si>
    <t>12AY7</t>
  </si>
  <si>
    <t>Cg to all except anode (pF)</t>
  </si>
  <si>
    <t>Va max (V)</t>
  </si>
  <si>
    <t>Cga (pF)</t>
  </si>
  <si>
    <t>Ia @ Pmax (mA)</t>
  </si>
  <si>
    <t>Vsupply Range (V)</t>
  </si>
  <si>
    <t>Load Line Range (mA)</t>
  </si>
  <si>
    <t>dB Gain</t>
  </si>
  <si>
    <t>Frequency (Hz)</t>
  </si>
  <si>
    <t>-</t>
  </si>
  <si>
    <t>Bypassed Cathode Only</t>
  </si>
  <si>
    <t>Unbypassed Cathode Only</t>
  </si>
  <si>
    <t>Rl (Ohms)</t>
  </si>
  <si>
    <t>Co (nF)</t>
  </si>
  <si>
    <t>Cf (pF)</t>
  </si>
  <si>
    <t>E88CC</t>
  </si>
  <si>
    <t>ra (Ohms)</t>
  </si>
  <si>
    <t>Voltage Gain</t>
  </si>
  <si>
    <t>[1+(((mu+1)Rk))/(Ra+ra))]^2</t>
  </si>
  <si>
    <t>1+(wCkRk)^2</t>
  </si>
  <si>
    <t>(wCkRk)^2</t>
  </si>
  <si>
    <t>Used for calculating frq' response:</t>
  </si>
  <si>
    <t>A'/A</t>
  </si>
  <si>
    <t>Voltage gain</t>
  </si>
  <si>
    <t>dB gain</t>
  </si>
  <si>
    <t>You may alter any of these values to suit the bias point you're using, but do not change the units.</t>
  </si>
  <si>
    <r>
      <t>V</t>
    </r>
    <r>
      <rPr>
        <b/>
        <sz val="10"/>
        <rFont val="Arial"/>
        <family val="2"/>
      </rPr>
      <t>supply</t>
    </r>
    <r>
      <rPr>
        <b/>
        <sz val="12"/>
        <rFont val="Arial"/>
        <family val="2"/>
      </rPr>
      <t xml:space="preserve"> (Volts)</t>
    </r>
  </si>
  <si>
    <t>The Load Line Plotter</t>
  </si>
  <si>
    <t>By The Valve Wizard</t>
  </si>
  <si>
    <t>Enter component values below. Observe units!</t>
  </si>
  <si>
    <t>Graph data, do not alter.</t>
  </si>
  <si>
    <t>LF roll-off</t>
  </si>
  <si>
    <t>LF roll off</t>
  </si>
  <si>
    <t>HF roll-off</t>
  </si>
  <si>
    <t>HF roll--off</t>
  </si>
  <si>
    <t>HF roll-off due to grid stopping (-3dB) (Hz)</t>
  </si>
  <si>
    <t>Total input capacitance (pF)</t>
  </si>
  <si>
    <t>LF output roll-off due to Co and Rl  (-3dB) (Hz)</t>
  </si>
  <si>
    <t>Half-boost frequency (Hz)</t>
  </si>
  <si>
    <t>X    Va (V)</t>
  </si>
  <si>
    <t>c-Y</t>
  </si>
  <si>
    <t>Cathode load line</t>
  </si>
  <si>
    <t>Ia</t>
  </si>
  <si>
    <t>Va</t>
  </si>
  <si>
    <t>a</t>
  </si>
  <si>
    <t>b</t>
  </si>
  <si>
    <t>c</t>
  </si>
  <si>
    <t>Polynomial coefficients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</si>
</sst>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indexed="43"/>
      <name val="Arial"/>
      <family val="2"/>
    </font>
    <font>
      <sz val="12"/>
      <name val="Arial"/>
    </font>
    <font>
      <b/>
      <sz val="20"/>
      <name val="Arial"/>
      <family val="2"/>
    </font>
    <font>
      <b/>
      <sz val="11"/>
      <name val="Arial"/>
      <family val="2"/>
    </font>
    <font>
      <sz val="12"/>
      <name val="Arial"/>
    </font>
    <font>
      <b/>
      <sz val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0" fillId="0" borderId="1" xfId="0" applyBorder="1"/>
    <xf numFmtId="2" fontId="0" fillId="0" borderId="1" xfId="0" applyNumberFormat="1" applyBorder="1"/>
    <xf numFmtId="0" fontId="3" fillId="2" borderId="1" xfId="0" applyFont="1" applyFill="1" applyBorder="1"/>
    <xf numFmtId="0" fontId="4" fillId="3" borderId="1" xfId="0" applyFont="1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4" fillId="6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left" wrapText="1"/>
    </xf>
    <xf numFmtId="0" fontId="3" fillId="2" borderId="0" xfId="0" applyFont="1" applyFill="1"/>
    <xf numFmtId="0" fontId="0" fillId="2" borderId="0" xfId="0" applyFill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0" xfId="0" applyFont="1" applyFill="1"/>
    <xf numFmtId="0" fontId="0" fillId="0" borderId="0" xfId="0" applyFill="1"/>
    <xf numFmtId="0" fontId="5" fillId="0" borderId="5" xfId="0" applyFont="1" applyFill="1" applyBorder="1"/>
    <xf numFmtId="0" fontId="4" fillId="7" borderId="1" xfId="0" applyFont="1" applyFill="1" applyBorder="1"/>
    <xf numFmtId="0" fontId="0" fillId="3" borderId="0" xfId="0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0" applyFont="1" applyFill="1"/>
    <xf numFmtId="0" fontId="0" fillId="3" borderId="0" xfId="0" applyFill="1" applyAlignment="1">
      <alignment horizontal="right"/>
    </xf>
    <xf numFmtId="0" fontId="0" fillId="3" borderId="0" xfId="0" applyFill="1" applyBorder="1"/>
    <xf numFmtId="0" fontId="2" fillId="3" borderId="0" xfId="0" applyFont="1" applyFill="1" applyBorder="1"/>
    <xf numFmtId="0" fontId="2" fillId="3" borderId="1" xfId="0" applyFont="1" applyFill="1" applyBorder="1"/>
    <xf numFmtId="164" fontId="0" fillId="3" borderId="1" xfId="0" applyNumberFormat="1" applyFill="1" applyBorder="1"/>
    <xf numFmtId="0" fontId="0" fillId="8" borderId="0" xfId="0" applyFill="1"/>
    <xf numFmtId="0" fontId="2" fillId="8" borderId="0" xfId="0" applyFont="1" applyFill="1"/>
    <xf numFmtId="0" fontId="2" fillId="8" borderId="6" xfId="0" applyFont="1" applyFill="1" applyBorder="1"/>
    <xf numFmtId="0" fontId="2" fillId="8" borderId="1" xfId="0" applyFont="1" applyFill="1" applyBorder="1"/>
    <xf numFmtId="164" fontId="0" fillId="8" borderId="1" xfId="0" applyNumberFormat="1" applyFill="1" applyBorder="1"/>
    <xf numFmtId="0" fontId="2" fillId="8" borderId="1" xfId="0" applyFont="1" applyFill="1" applyBorder="1" applyAlignment="1">
      <alignment wrapText="1"/>
    </xf>
    <xf numFmtId="0" fontId="2" fillId="9" borderId="0" xfId="0" applyFont="1" applyFill="1" applyBorder="1"/>
    <xf numFmtId="164" fontId="0" fillId="9" borderId="0" xfId="0" applyNumberFormat="1" applyFill="1" applyBorder="1"/>
    <xf numFmtId="0" fontId="2" fillId="9" borderId="0" xfId="0" applyFont="1" applyFill="1"/>
    <xf numFmtId="0" fontId="0" fillId="9" borderId="0" xfId="0" applyFill="1"/>
    <xf numFmtId="0" fontId="2" fillId="9" borderId="6" xfId="0" applyFont="1" applyFill="1" applyBorder="1"/>
    <xf numFmtId="0" fontId="2" fillId="9" borderId="1" xfId="0" applyFont="1" applyFill="1" applyBorder="1"/>
    <xf numFmtId="164" fontId="0" fillId="9" borderId="1" xfId="0" applyNumberFormat="1" applyFill="1" applyBorder="1"/>
    <xf numFmtId="0" fontId="2" fillId="9" borderId="1" xfId="0" applyFont="1" applyFill="1" applyBorder="1" applyAlignment="1">
      <alignment wrapText="1"/>
    </xf>
    <xf numFmtId="0" fontId="3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right"/>
    </xf>
    <xf numFmtId="0" fontId="0" fillId="5" borderId="0" xfId="0" applyFill="1" applyAlignment="1">
      <alignment horizontal="right"/>
    </xf>
    <xf numFmtId="0" fontId="2" fillId="5" borderId="0" xfId="0" applyFont="1" applyFill="1"/>
    <xf numFmtId="0" fontId="2" fillId="5" borderId="6" xfId="0" applyFont="1" applyFill="1" applyBorder="1"/>
    <xf numFmtId="0" fontId="2" fillId="5" borderId="1" xfId="0" applyFont="1" applyFill="1" applyBorder="1"/>
    <xf numFmtId="164" fontId="0" fillId="5" borderId="1" xfId="0" applyNumberFormat="1" applyFill="1" applyBorder="1"/>
    <xf numFmtId="0" fontId="2" fillId="5" borderId="1" xfId="0" applyFont="1" applyFill="1" applyBorder="1" applyAlignment="1">
      <alignment wrapText="1"/>
    </xf>
    <xf numFmtId="0" fontId="3" fillId="4" borderId="0" xfId="0" applyFont="1" applyFill="1"/>
    <xf numFmtId="0" fontId="0" fillId="4" borderId="0" xfId="0" applyFill="1"/>
    <xf numFmtId="0" fontId="2" fillId="4" borderId="0" xfId="0" applyFont="1" applyFill="1" applyAlignment="1">
      <alignment horizontal="right"/>
    </xf>
    <xf numFmtId="0" fontId="0" fillId="4" borderId="0" xfId="0" applyFill="1" applyAlignment="1">
      <alignment horizontal="right"/>
    </xf>
    <xf numFmtId="0" fontId="2" fillId="4" borderId="0" xfId="0" applyFont="1" applyFill="1"/>
    <xf numFmtId="0" fontId="2" fillId="4" borderId="6" xfId="0" applyFont="1" applyFill="1" applyBorder="1"/>
    <xf numFmtId="0" fontId="2" fillId="4" borderId="1" xfId="0" applyFont="1" applyFill="1" applyBorder="1"/>
    <xf numFmtId="164" fontId="0" fillId="4" borderId="1" xfId="0" applyNumberFormat="1" applyFill="1" applyBorder="1"/>
    <xf numFmtId="0" fontId="2" fillId="4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0" fillId="0" borderId="0" xfId="0" applyFill="1" applyBorder="1"/>
    <xf numFmtId="0" fontId="0" fillId="0" borderId="7" xfId="0" applyBorder="1"/>
    <xf numFmtId="0" fontId="2" fillId="0" borderId="0" xfId="0" applyFont="1" applyAlignment="1">
      <alignment wrapText="1"/>
    </xf>
    <xf numFmtId="0" fontId="3" fillId="10" borderId="8" xfId="0" applyFont="1" applyFill="1" applyBorder="1"/>
    <xf numFmtId="0" fontId="3" fillId="10" borderId="7" xfId="0" applyFont="1" applyFill="1" applyBorder="1"/>
    <xf numFmtId="0" fontId="3" fillId="10" borderId="9" xfId="0" applyFont="1" applyFill="1" applyBorder="1"/>
    <xf numFmtId="0" fontId="3" fillId="11" borderId="8" xfId="0" applyFont="1" applyFill="1" applyBorder="1"/>
    <xf numFmtId="0" fontId="3" fillId="11" borderId="7" xfId="0" applyFont="1" applyFill="1" applyBorder="1"/>
    <xf numFmtId="0" fontId="8" fillId="11" borderId="7" xfId="0" applyFont="1" applyFill="1" applyBorder="1"/>
    <xf numFmtId="0" fontId="3" fillId="10" borderId="10" xfId="0" applyFont="1" applyFill="1" applyBorder="1" applyAlignment="1">
      <alignment wrapText="1"/>
    </xf>
    <xf numFmtId="0" fontId="3" fillId="10" borderId="11" xfId="0" applyFont="1" applyFill="1" applyBorder="1" applyAlignment="1">
      <alignment wrapText="1"/>
    </xf>
    <xf numFmtId="0" fontId="3" fillId="10" borderId="12" xfId="0" applyFont="1" applyFill="1" applyBorder="1" applyAlignment="1">
      <alignment wrapText="1"/>
    </xf>
    <xf numFmtId="0" fontId="3" fillId="11" borderId="13" xfId="0" applyFont="1" applyFill="1" applyBorder="1" applyAlignment="1">
      <alignment wrapText="1"/>
    </xf>
    <xf numFmtId="0" fontId="3" fillId="11" borderId="14" xfId="0" applyFont="1" applyFill="1" applyBorder="1" applyAlignment="1">
      <alignment wrapText="1"/>
    </xf>
    <xf numFmtId="0" fontId="3" fillId="11" borderId="15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2" borderId="15" xfId="0" applyFont="1" applyFill="1" applyBorder="1" applyAlignment="1">
      <alignment wrapText="1"/>
    </xf>
    <xf numFmtId="164" fontId="5" fillId="2" borderId="16" xfId="0" applyNumberFormat="1" applyFont="1" applyFill="1" applyBorder="1"/>
    <xf numFmtId="164" fontId="5" fillId="10" borderId="16" xfId="0" applyNumberFormat="1" applyFont="1" applyFill="1" applyBorder="1"/>
    <xf numFmtId="164" fontId="5" fillId="11" borderId="16" xfId="0" applyNumberFormat="1" applyFont="1" applyFill="1" applyBorder="1"/>
    <xf numFmtId="164" fontId="5" fillId="11" borderId="1" xfId="0" applyNumberFormat="1" applyFont="1" applyFill="1" applyBorder="1"/>
    <xf numFmtId="164" fontId="5" fillId="2" borderId="4" xfId="0" applyNumberFormat="1" applyFont="1" applyFill="1" applyBorder="1"/>
    <xf numFmtId="164" fontId="5" fillId="10" borderId="4" xfId="0" applyNumberFormat="1" applyFont="1" applyFill="1" applyBorder="1"/>
    <xf numFmtId="164" fontId="5" fillId="11" borderId="4" xfId="0" applyNumberFormat="1" applyFont="1" applyFill="1" applyBorder="1"/>
    <xf numFmtId="0" fontId="7" fillId="0" borderId="0" xfId="0" applyFont="1"/>
    <xf numFmtId="0" fontId="6" fillId="12" borderId="8" xfId="0" applyFont="1" applyFill="1" applyBorder="1"/>
    <xf numFmtId="0" fontId="0" fillId="12" borderId="7" xfId="0" applyFill="1" applyBorder="1"/>
    <xf numFmtId="0" fontId="0" fillId="12" borderId="9" xfId="0" applyFill="1" applyBorder="1"/>
    <xf numFmtId="0" fontId="9" fillId="12" borderId="17" xfId="0" applyFont="1" applyFill="1" applyBorder="1"/>
    <xf numFmtId="0" fontId="0" fillId="12" borderId="6" xfId="0" applyFill="1" applyBorder="1"/>
    <xf numFmtId="0" fontId="0" fillId="12" borderId="18" xfId="0" applyFill="1" applyBorder="1"/>
    <xf numFmtId="0" fontId="0" fillId="11" borderId="3" xfId="0" applyFill="1" applyBorder="1"/>
    <xf numFmtId="0" fontId="3" fillId="11" borderId="12" xfId="0" applyFont="1" applyFill="1" applyBorder="1" applyAlignment="1">
      <alignment wrapText="1"/>
    </xf>
    <xf numFmtId="0" fontId="3" fillId="2" borderId="12" xfId="0" applyFont="1" applyFill="1" applyBorder="1" applyAlignment="1">
      <alignment wrapText="1"/>
    </xf>
    <xf numFmtId="0" fontId="8" fillId="3" borderId="0" xfId="0" applyFont="1" applyFill="1"/>
    <xf numFmtId="164" fontId="0" fillId="3" borderId="0" xfId="0" applyNumberFormat="1" applyFill="1" applyBorder="1"/>
    <xf numFmtId="0" fontId="8" fillId="4" borderId="0" xfId="0" applyFont="1" applyFill="1"/>
    <xf numFmtId="0" fontId="2" fillId="4" borderId="0" xfId="0" applyFont="1" applyFill="1" applyBorder="1"/>
    <xf numFmtId="164" fontId="0" fillId="4" borderId="0" xfId="0" applyNumberFormat="1" applyFill="1" applyBorder="1"/>
    <xf numFmtId="0" fontId="0" fillId="13" borderId="0" xfId="0" applyFill="1"/>
    <xf numFmtId="0" fontId="2" fillId="13" borderId="0" xfId="0" applyFont="1" applyFill="1" applyAlignment="1">
      <alignment horizontal="right"/>
    </xf>
    <xf numFmtId="0" fontId="2" fillId="13" borderId="0" xfId="0" applyFont="1" applyFill="1"/>
    <xf numFmtId="0" fontId="8" fillId="5" borderId="0" xfId="0" applyFont="1" applyFill="1"/>
    <xf numFmtId="0" fontId="2" fillId="5" borderId="0" xfId="0" applyFont="1" applyFill="1" applyBorder="1"/>
    <xf numFmtId="164" fontId="0" fillId="5" borderId="0" xfId="0" applyNumberFormat="1" applyFill="1" applyBorder="1"/>
    <xf numFmtId="0" fontId="0" fillId="7" borderId="0" xfId="0" applyFill="1"/>
    <xf numFmtId="0" fontId="2" fillId="7" borderId="0" xfId="0" applyFont="1" applyFill="1" applyBorder="1"/>
    <xf numFmtId="164" fontId="0" fillId="7" borderId="0" xfId="0" applyNumberFormat="1" applyFill="1" applyBorder="1"/>
    <xf numFmtId="0" fontId="3" fillId="7" borderId="0" xfId="0" applyFont="1" applyFill="1"/>
    <xf numFmtId="0" fontId="8" fillId="7" borderId="0" xfId="0" applyFont="1" applyFill="1"/>
    <xf numFmtId="0" fontId="2" fillId="7" borderId="0" xfId="0" applyFont="1" applyFill="1" applyAlignment="1">
      <alignment horizontal="right"/>
    </xf>
    <xf numFmtId="0" fontId="0" fillId="7" borderId="0" xfId="0" applyFill="1" applyAlignment="1">
      <alignment horizontal="right"/>
    </xf>
    <xf numFmtId="0" fontId="2" fillId="7" borderId="0" xfId="0" applyFont="1" applyFill="1"/>
    <xf numFmtId="164" fontId="0" fillId="7" borderId="0" xfId="0" applyNumberFormat="1" applyFill="1"/>
    <xf numFmtId="0" fontId="0" fillId="6" borderId="0" xfId="0" applyFill="1"/>
    <xf numFmtId="0" fontId="2" fillId="6" borderId="0" xfId="0" applyFont="1" applyFill="1"/>
    <xf numFmtId="164" fontId="0" fillId="6" borderId="0" xfId="0" applyNumberFormat="1" applyFill="1"/>
    <xf numFmtId="0" fontId="3" fillId="6" borderId="0" xfId="0" applyFont="1" applyFill="1"/>
    <xf numFmtId="0" fontId="8" fillId="6" borderId="0" xfId="0" applyFont="1" applyFill="1"/>
    <xf numFmtId="0" fontId="2" fillId="6" borderId="0" xfId="0" applyFont="1" applyFill="1" applyAlignment="1">
      <alignment horizontal="right"/>
    </xf>
    <xf numFmtId="0" fontId="3" fillId="0" borderId="0" xfId="0" applyFont="1" applyAlignment="1">
      <alignment wrapText="1"/>
    </xf>
    <xf numFmtId="164" fontId="0" fillId="2" borderId="1" xfId="0" applyNumberFormat="1" applyFill="1" applyBorder="1"/>
    <xf numFmtId="1" fontId="5" fillId="10" borderId="16" xfId="0" applyNumberFormat="1" applyFont="1" applyFill="1" applyBorder="1"/>
    <xf numFmtId="1" fontId="5" fillId="11" borderId="19" xfId="0" applyNumberFormat="1" applyFont="1" applyFill="1" applyBorder="1"/>
    <xf numFmtId="1" fontId="5" fillId="11" borderId="1" xfId="0" applyNumberFormat="1" applyFont="1" applyFill="1" applyBorder="1"/>
    <xf numFmtId="1" fontId="5" fillId="11" borderId="16" xfId="0" applyNumberFormat="1" applyFont="1" applyFill="1" applyBorder="1"/>
    <xf numFmtId="1" fontId="5" fillId="11" borderId="4" xfId="0" applyNumberFormat="1" applyFont="1" applyFill="1" applyBorder="1"/>
    <xf numFmtId="1" fontId="0" fillId="11" borderId="1" xfId="0" applyNumberFormat="1" applyFill="1" applyBorder="1"/>
    <xf numFmtId="1" fontId="5" fillId="10" borderId="2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chartsheet" Target="chartsheets/sheet1.xml"/><Relationship Id="rId3" Type="http://schemas.openxmlformats.org/officeDocument/2006/relationships/chartsheet" Target="chartsheets/sheet2.xml"/><Relationship Id="rId4" Type="http://schemas.openxmlformats.org/officeDocument/2006/relationships/chartsheet" Target="chartsheets/sheet3.xml"/><Relationship Id="rId5" Type="http://schemas.openxmlformats.org/officeDocument/2006/relationships/chartsheet" Target="chartsheets/sheet4.xml"/><Relationship Id="rId6" Type="http://schemas.openxmlformats.org/officeDocument/2006/relationships/chartsheet" Target="chartsheets/sheet5.xml"/><Relationship Id="rId7" Type="http://schemas.openxmlformats.org/officeDocument/2006/relationships/chartsheet" Target="chartsheets/sheet6.xml"/><Relationship Id="rId8" Type="http://schemas.openxmlformats.org/officeDocument/2006/relationships/worksheet" Target="worksheets/sheet2.xml"/><Relationship Id="rId9" Type="http://schemas.openxmlformats.org/officeDocument/2006/relationships/worksheet" Target="worksheets/sheet3.xml"/><Relationship Id="rId10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ECC81 / 12AT7</a:t>
            </a:r>
          </a:p>
        </c:rich>
      </c:tx>
      <c:layout>
        <c:manualLayout>
          <c:xMode val="edge"/>
          <c:yMode val="edge"/>
          <c:x val="0.412413793103448"/>
          <c:y val="0.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786206896551724"/>
          <c:y val="0.0542986425339366"/>
          <c:w val="0.823448275862069"/>
          <c:h val="0.807692307692308"/>
        </c:manualLayout>
      </c:layout>
      <c:scatterChart>
        <c:scatterStyle val="smoothMarker"/>
        <c:varyColors val="0"/>
        <c:ser>
          <c:idx val="0"/>
          <c:order val="0"/>
          <c:tx>
            <c:v>Vgk = 0V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Data'!$C$3:$W$3</c:f>
              <c:numCache>
                <c:formatCode>General</c:formatCode>
                <c:ptCount val="21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  <c:pt idx="20">
                  <c:v>500.0</c:v>
                </c:pt>
              </c:numCache>
            </c:numRef>
          </c:xVal>
          <c:yVal>
            <c:numRef>
              <c:f>'Graph Data'!$C$5:$W$5</c:f>
              <c:numCache>
                <c:formatCode>General</c:formatCode>
                <c:ptCount val="21"/>
                <c:pt idx="0">
                  <c:v>0.0</c:v>
                </c:pt>
                <c:pt idx="1">
                  <c:v>2.0</c:v>
                </c:pt>
                <c:pt idx="2">
                  <c:v>4.0</c:v>
                </c:pt>
                <c:pt idx="3">
                  <c:v>6.0</c:v>
                </c:pt>
                <c:pt idx="4">
                  <c:v>8.2</c:v>
                </c:pt>
                <c:pt idx="5">
                  <c:v>10.5</c:v>
                </c:pt>
                <c:pt idx="6">
                  <c:v>13.2</c:v>
                </c:pt>
                <c:pt idx="7">
                  <c:v>16.0</c:v>
                </c:pt>
                <c:pt idx="8">
                  <c:v>19.0</c:v>
                </c:pt>
                <c:pt idx="9">
                  <c:v>22.0</c:v>
                </c:pt>
                <c:pt idx="10">
                  <c:v>25.0</c:v>
                </c:pt>
              </c:numCache>
            </c:numRef>
          </c:yVal>
          <c:smooth val="1"/>
        </c:ser>
        <c:ser>
          <c:idx val="1"/>
          <c:order val="1"/>
          <c:tx>
            <c:v>-1V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Data'!$C$3:$W$3</c:f>
              <c:numCache>
                <c:formatCode>General</c:formatCode>
                <c:ptCount val="21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  <c:pt idx="20">
                  <c:v>500.0</c:v>
                </c:pt>
              </c:numCache>
            </c:numRef>
          </c:xVal>
          <c:yVal>
            <c:numRef>
              <c:f>'Graph Data'!$C$6:$W$6</c:f>
              <c:numCache>
                <c:formatCode>General</c:formatCode>
                <c:ptCount val="21"/>
                <c:pt idx="0">
                  <c:v>0.0</c:v>
                </c:pt>
                <c:pt idx="1">
                  <c:v>0.2</c:v>
                </c:pt>
                <c:pt idx="2">
                  <c:v>1.0</c:v>
                </c:pt>
                <c:pt idx="3">
                  <c:v>2.0</c:v>
                </c:pt>
                <c:pt idx="4">
                  <c:v>3.3</c:v>
                </c:pt>
                <c:pt idx="5">
                  <c:v>4.83</c:v>
                </c:pt>
                <c:pt idx="6">
                  <c:v>6.78</c:v>
                </c:pt>
                <c:pt idx="7">
                  <c:v>8.87</c:v>
                </c:pt>
                <c:pt idx="8">
                  <c:v>11.18</c:v>
                </c:pt>
                <c:pt idx="9">
                  <c:v>14.0</c:v>
                </c:pt>
                <c:pt idx="10">
                  <c:v>16.8</c:v>
                </c:pt>
                <c:pt idx="11">
                  <c:v>19.83</c:v>
                </c:pt>
              </c:numCache>
            </c:numRef>
          </c:yVal>
          <c:smooth val="1"/>
        </c:ser>
        <c:ser>
          <c:idx val="2"/>
          <c:order val="2"/>
          <c:tx>
            <c:v>-2V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Data'!$C$3:$W$3</c:f>
              <c:numCache>
                <c:formatCode>General</c:formatCode>
                <c:ptCount val="21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  <c:pt idx="20">
                  <c:v>500.0</c:v>
                </c:pt>
              </c:numCache>
            </c:numRef>
          </c:xVal>
          <c:yVal>
            <c:numRef>
              <c:f>'Graph Data'!$C$7:$W$7</c:f>
              <c:numCache>
                <c:formatCode>General</c:formatCode>
                <c:ptCount val="21"/>
                <c:pt idx="2">
                  <c:v>0.0</c:v>
                </c:pt>
                <c:pt idx="3">
                  <c:v>0.3</c:v>
                </c:pt>
                <c:pt idx="4">
                  <c:v>0.9</c:v>
                </c:pt>
                <c:pt idx="5">
                  <c:v>1.73</c:v>
                </c:pt>
                <c:pt idx="6">
                  <c:v>2.83</c:v>
                </c:pt>
                <c:pt idx="7">
                  <c:v>4.2</c:v>
                </c:pt>
                <c:pt idx="8">
                  <c:v>5.91</c:v>
                </c:pt>
                <c:pt idx="9">
                  <c:v>7.93</c:v>
                </c:pt>
                <c:pt idx="10">
                  <c:v>10.0</c:v>
                </c:pt>
                <c:pt idx="11">
                  <c:v>12.26</c:v>
                </c:pt>
                <c:pt idx="12">
                  <c:v>14.6</c:v>
                </c:pt>
                <c:pt idx="13">
                  <c:v>17.0</c:v>
                </c:pt>
              </c:numCache>
            </c:numRef>
          </c:yVal>
          <c:smooth val="1"/>
        </c:ser>
        <c:ser>
          <c:idx val="3"/>
          <c:order val="3"/>
          <c:tx>
            <c:v>-3V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Data'!$C$3:$W$3</c:f>
              <c:numCache>
                <c:formatCode>General</c:formatCode>
                <c:ptCount val="21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  <c:pt idx="20">
                  <c:v>500.0</c:v>
                </c:pt>
              </c:numCache>
            </c:numRef>
          </c:xVal>
          <c:yVal>
            <c:numRef>
              <c:f>'Graph Data'!$C$8:$W$8</c:f>
              <c:numCache>
                <c:formatCode>General</c:formatCode>
                <c:ptCount val="21"/>
                <c:pt idx="4">
                  <c:v>0.0</c:v>
                </c:pt>
                <c:pt idx="5">
                  <c:v>0.4</c:v>
                </c:pt>
                <c:pt idx="6">
                  <c:v>0.86</c:v>
                </c:pt>
                <c:pt idx="7">
                  <c:v>1.6</c:v>
                </c:pt>
                <c:pt idx="8">
                  <c:v>2.66</c:v>
                </c:pt>
                <c:pt idx="9">
                  <c:v>3.89</c:v>
                </c:pt>
                <c:pt idx="10">
                  <c:v>5.2</c:v>
                </c:pt>
                <c:pt idx="11">
                  <c:v>7.0</c:v>
                </c:pt>
                <c:pt idx="12">
                  <c:v>8.94</c:v>
                </c:pt>
                <c:pt idx="13">
                  <c:v>11.0</c:v>
                </c:pt>
                <c:pt idx="14">
                  <c:v>13.2</c:v>
                </c:pt>
              </c:numCache>
            </c:numRef>
          </c:yVal>
          <c:smooth val="1"/>
        </c:ser>
        <c:ser>
          <c:idx val="4"/>
          <c:order val="4"/>
          <c:tx>
            <c:v>-4V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Data'!$C$3:$W$3</c:f>
              <c:numCache>
                <c:formatCode>General</c:formatCode>
                <c:ptCount val="21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  <c:pt idx="20">
                  <c:v>500.0</c:v>
                </c:pt>
              </c:numCache>
            </c:numRef>
          </c:xVal>
          <c:yVal>
            <c:numRef>
              <c:f>'Graph Data'!$C$9:$W$9</c:f>
              <c:numCache>
                <c:formatCode>General</c:formatCode>
                <c:ptCount val="21"/>
                <c:pt idx="6">
                  <c:v>0.0</c:v>
                </c:pt>
                <c:pt idx="7">
                  <c:v>0.3</c:v>
                </c:pt>
                <c:pt idx="8">
                  <c:v>0.9</c:v>
                </c:pt>
                <c:pt idx="9">
                  <c:v>1.56</c:v>
                </c:pt>
                <c:pt idx="10">
                  <c:v>2.5</c:v>
                </c:pt>
                <c:pt idx="11">
                  <c:v>3.7</c:v>
                </c:pt>
                <c:pt idx="12">
                  <c:v>5.0</c:v>
                </c:pt>
                <c:pt idx="13">
                  <c:v>6.52</c:v>
                </c:pt>
                <c:pt idx="14">
                  <c:v>8.1</c:v>
                </c:pt>
                <c:pt idx="15">
                  <c:v>10.1</c:v>
                </c:pt>
                <c:pt idx="16">
                  <c:v>12.0</c:v>
                </c:pt>
              </c:numCache>
            </c:numRef>
          </c:yVal>
          <c:smooth val="1"/>
        </c:ser>
        <c:ser>
          <c:idx val="5"/>
          <c:order val="5"/>
          <c:tx>
            <c:v>-5V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Data'!$C$3:$W$3</c:f>
              <c:numCache>
                <c:formatCode>General</c:formatCode>
                <c:ptCount val="21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  <c:pt idx="20">
                  <c:v>500.0</c:v>
                </c:pt>
              </c:numCache>
            </c:numRef>
          </c:xVal>
          <c:yVal>
            <c:numRef>
              <c:f>'Graph Data'!$C$10:$W$10</c:f>
              <c:numCache>
                <c:formatCode>General</c:formatCode>
                <c:ptCount val="21"/>
                <c:pt idx="7">
                  <c:v>0.0</c:v>
                </c:pt>
                <c:pt idx="8">
                  <c:v>0.2</c:v>
                </c:pt>
                <c:pt idx="9">
                  <c:v>0.63</c:v>
                </c:pt>
                <c:pt idx="10">
                  <c:v>1.16</c:v>
                </c:pt>
                <c:pt idx="11">
                  <c:v>1.9</c:v>
                </c:pt>
                <c:pt idx="12">
                  <c:v>2.8</c:v>
                </c:pt>
                <c:pt idx="13">
                  <c:v>3.86</c:v>
                </c:pt>
                <c:pt idx="14">
                  <c:v>5.0</c:v>
                </c:pt>
                <c:pt idx="15">
                  <c:v>6.45</c:v>
                </c:pt>
                <c:pt idx="16">
                  <c:v>7.98</c:v>
                </c:pt>
                <c:pt idx="17">
                  <c:v>9.65</c:v>
                </c:pt>
                <c:pt idx="18">
                  <c:v>11.5</c:v>
                </c:pt>
              </c:numCache>
            </c:numRef>
          </c:yVal>
          <c:smooth val="1"/>
        </c:ser>
        <c:ser>
          <c:idx val="6"/>
          <c:order val="6"/>
          <c:tx>
            <c:v>-6V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Data'!$C$3:$W$3</c:f>
              <c:numCache>
                <c:formatCode>General</c:formatCode>
                <c:ptCount val="21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  <c:pt idx="20">
                  <c:v>500.0</c:v>
                </c:pt>
              </c:numCache>
            </c:numRef>
          </c:xVal>
          <c:yVal>
            <c:numRef>
              <c:f>'Graph Data'!$C$11:$W$11</c:f>
              <c:numCache>
                <c:formatCode>General</c:formatCode>
                <c:ptCount val="21"/>
                <c:pt idx="8">
                  <c:v>0.0</c:v>
                </c:pt>
                <c:pt idx="9">
                  <c:v>0.1</c:v>
                </c:pt>
                <c:pt idx="10">
                  <c:v>0.43</c:v>
                </c:pt>
                <c:pt idx="11">
                  <c:v>0.86</c:v>
                </c:pt>
                <c:pt idx="12">
                  <c:v>1.3</c:v>
                </c:pt>
                <c:pt idx="13">
                  <c:v>1.9</c:v>
                </c:pt>
                <c:pt idx="14">
                  <c:v>2.6</c:v>
                </c:pt>
                <c:pt idx="15">
                  <c:v>3.5</c:v>
                </c:pt>
                <c:pt idx="16">
                  <c:v>4.6</c:v>
                </c:pt>
                <c:pt idx="17">
                  <c:v>5.95</c:v>
                </c:pt>
                <c:pt idx="18">
                  <c:v>7.36</c:v>
                </c:pt>
                <c:pt idx="19">
                  <c:v>9.0</c:v>
                </c:pt>
                <c:pt idx="20">
                  <c:v>10.5</c:v>
                </c:pt>
              </c:numCache>
            </c:numRef>
          </c:yVal>
          <c:smooth val="1"/>
        </c:ser>
        <c:ser>
          <c:idx val="7"/>
          <c:order val="7"/>
          <c:tx>
            <c:v>-7V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Data'!$C$3:$W$3</c:f>
              <c:numCache>
                <c:formatCode>General</c:formatCode>
                <c:ptCount val="21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  <c:pt idx="20">
                  <c:v>500.0</c:v>
                </c:pt>
              </c:numCache>
            </c:numRef>
          </c:xVal>
          <c:yVal>
            <c:numRef>
              <c:f>'Graph Data'!$C$12:$W$12</c:f>
              <c:numCache>
                <c:formatCode>General</c:formatCode>
                <c:ptCount val="21"/>
                <c:pt idx="10">
                  <c:v>0.0</c:v>
                </c:pt>
                <c:pt idx="11">
                  <c:v>0.2</c:v>
                </c:pt>
                <c:pt idx="12">
                  <c:v>0.5</c:v>
                </c:pt>
                <c:pt idx="13">
                  <c:v>0.86</c:v>
                </c:pt>
                <c:pt idx="14">
                  <c:v>1.37</c:v>
                </c:pt>
                <c:pt idx="15">
                  <c:v>2.0</c:v>
                </c:pt>
                <c:pt idx="16">
                  <c:v>2.73</c:v>
                </c:pt>
                <c:pt idx="17">
                  <c:v>3.63</c:v>
                </c:pt>
                <c:pt idx="18">
                  <c:v>4.62</c:v>
                </c:pt>
                <c:pt idx="19">
                  <c:v>5.89</c:v>
                </c:pt>
                <c:pt idx="20">
                  <c:v>7.18</c:v>
                </c:pt>
              </c:numCache>
            </c:numRef>
          </c:yVal>
          <c:smooth val="1"/>
        </c:ser>
        <c:ser>
          <c:idx val="8"/>
          <c:order val="8"/>
          <c:tx>
            <c:v>-8V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Data'!$C$3:$W$3</c:f>
              <c:numCache>
                <c:formatCode>General</c:formatCode>
                <c:ptCount val="21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  <c:pt idx="20">
                  <c:v>500.0</c:v>
                </c:pt>
              </c:numCache>
            </c:numRef>
          </c:xVal>
          <c:yVal>
            <c:numRef>
              <c:f>'Graph Data'!$C$13:$W$13</c:f>
              <c:numCache>
                <c:formatCode>General</c:formatCode>
                <c:ptCount val="21"/>
                <c:pt idx="11">
                  <c:v>0.0</c:v>
                </c:pt>
                <c:pt idx="12">
                  <c:v>0.1</c:v>
                </c:pt>
                <c:pt idx="13">
                  <c:v>0.4</c:v>
                </c:pt>
                <c:pt idx="14">
                  <c:v>0.7</c:v>
                </c:pt>
                <c:pt idx="15">
                  <c:v>1.1</c:v>
                </c:pt>
                <c:pt idx="16">
                  <c:v>1.6</c:v>
                </c:pt>
                <c:pt idx="17">
                  <c:v>2.13</c:v>
                </c:pt>
                <c:pt idx="18">
                  <c:v>2.96</c:v>
                </c:pt>
                <c:pt idx="19">
                  <c:v>3.86</c:v>
                </c:pt>
                <c:pt idx="20">
                  <c:v>5.0</c:v>
                </c:pt>
              </c:numCache>
            </c:numRef>
          </c:yVal>
          <c:smooth val="1"/>
        </c:ser>
        <c:ser>
          <c:idx val="9"/>
          <c:order val="9"/>
          <c:tx>
            <c:strRef>
              <c:f>'Valve Spec'!$B$1:$B$2</c:f>
              <c:strCache>
                <c:ptCount val="1"/>
                <c:pt idx="0">
                  <c:v>Pmax (W) 2.5</c:v>
                </c:pt>
              </c:strCache>
            </c:strRef>
          </c:tx>
          <c:spPr>
            <a:ln w="38100">
              <a:solidFill>
                <a:srgbClr val="DD0806"/>
              </a:solidFill>
              <a:prstDash val="solid"/>
            </a:ln>
          </c:spPr>
          <c:marker>
            <c:symbol val="none"/>
          </c:marker>
          <c:xVal>
            <c:numRef>
              <c:f>'Graph Data'!$F$3:$W$3</c:f>
              <c:numCache>
                <c:formatCode>General</c:formatCode>
                <c:ptCount val="18"/>
                <c:pt idx="0">
                  <c:v>75.0</c:v>
                </c:pt>
                <c:pt idx="1">
                  <c:v>100.0</c:v>
                </c:pt>
                <c:pt idx="2">
                  <c:v>125.0</c:v>
                </c:pt>
                <c:pt idx="3">
                  <c:v>150.0</c:v>
                </c:pt>
                <c:pt idx="4">
                  <c:v>175.0</c:v>
                </c:pt>
                <c:pt idx="5">
                  <c:v>200.0</c:v>
                </c:pt>
                <c:pt idx="6">
                  <c:v>226.1</c:v>
                </c:pt>
                <c:pt idx="7">
                  <c:v>250.0</c:v>
                </c:pt>
                <c:pt idx="8">
                  <c:v>275.0</c:v>
                </c:pt>
                <c:pt idx="9">
                  <c:v>300.0</c:v>
                </c:pt>
                <c:pt idx="10">
                  <c:v>325.0</c:v>
                </c:pt>
                <c:pt idx="11">
                  <c:v>350.0</c:v>
                </c:pt>
                <c:pt idx="12">
                  <c:v>375.0</c:v>
                </c:pt>
                <c:pt idx="13">
                  <c:v>400.0</c:v>
                </c:pt>
                <c:pt idx="14">
                  <c:v>425.0</c:v>
                </c:pt>
                <c:pt idx="15">
                  <c:v>450.0</c:v>
                </c:pt>
                <c:pt idx="16">
                  <c:v>475.0</c:v>
                </c:pt>
                <c:pt idx="17">
                  <c:v>500.0</c:v>
                </c:pt>
              </c:numCache>
            </c:numRef>
          </c:xVal>
          <c:yVal>
            <c:numRef>
              <c:f>'Graph Data'!$F$15:$W$15</c:f>
              <c:numCache>
                <c:formatCode>General</c:formatCode>
                <c:ptCount val="18"/>
                <c:pt idx="0">
                  <c:v>33.33333333333334</c:v>
                </c:pt>
                <c:pt idx="1">
                  <c:v>25.0</c:v>
                </c:pt>
                <c:pt idx="2">
                  <c:v>20.0</c:v>
                </c:pt>
                <c:pt idx="3">
                  <c:v>16.66666666666667</c:v>
                </c:pt>
                <c:pt idx="4">
                  <c:v>14.28571428571428</c:v>
                </c:pt>
                <c:pt idx="5">
                  <c:v>12.5</c:v>
                </c:pt>
                <c:pt idx="6">
                  <c:v>11.05705440070765</c:v>
                </c:pt>
                <c:pt idx="7">
                  <c:v>10.0</c:v>
                </c:pt>
                <c:pt idx="8">
                  <c:v>9.09090909090909</c:v>
                </c:pt>
                <c:pt idx="9">
                  <c:v>8.333333333333333</c:v>
                </c:pt>
                <c:pt idx="10">
                  <c:v>7.692307692307692</c:v>
                </c:pt>
                <c:pt idx="11">
                  <c:v>7.142857142857142</c:v>
                </c:pt>
                <c:pt idx="12">
                  <c:v>6.666666666666667</c:v>
                </c:pt>
                <c:pt idx="13">
                  <c:v>6.25</c:v>
                </c:pt>
                <c:pt idx="14">
                  <c:v>5.88235294117647</c:v>
                </c:pt>
                <c:pt idx="15">
                  <c:v>5.555555555555555</c:v>
                </c:pt>
                <c:pt idx="16">
                  <c:v>5.263157894736842</c:v>
                </c:pt>
                <c:pt idx="17">
                  <c:v>5.0</c:v>
                </c:pt>
              </c:numCache>
            </c:numRef>
          </c:yVal>
          <c:smooth val="1"/>
        </c:ser>
        <c:ser>
          <c:idx val="10"/>
          <c:order val="10"/>
          <c:tx>
            <c:strRef>
              <c:f>Parameters!$B$2:$B$3</c:f>
              <c:strCache>
                <c:ptCount val="1"/>
                <c:pt idx="0">
                  <c:v>Ra (Ohms) 100000</c:v>
                </c:pt>
              </c:strCache>
            </c:strRef>
          </c:tx>
          <c:spPr>
            <a:ln w="38100">
              <a:solidFill>
                <a:srgbClr val="0000D4"/>
              </a:solidFill>
              <a:prstDash val="solid"/>
            </a:ln>
          </c:spPr>
          <c:marker>
            <c:symbol val="none"/>
          </c:marker>
          <c:xVal>
            <c:numRef>
              <c:f>'Graph Data'!$C$132:$C$133</c:f>
              <c:numCache>
                <c:formatCode>General</c:formatCode>
                <c:ptCount val="2"/>
                <c:pt idx="0">
                  <c:v>240.0</c:v>
                </c:pt>
                <c:pt idx="1">
                  <c:v>0.0</c:v>
                </c:pt>
              </c:numCache>
            </c:numRef>
          </c:xVal>
          <c:yVal>
            <c:numRef>
              <c:f>'Graph Data'!$B$132:$B$133</c:f>
              <c:numCache>
                <c:formatCode>0.00</c:formatCode>
                <c:ptCount val="2"/>
                <c:pt idx="0" formatCode="General">
                  <c:v>0.0</c:v>
                </c:pt>
                <c:pt idx="1">
                  <c:v>2.364532019704433</c:v>
                </c:pt>
              </c:numCache>
            </c:numRef>
          </c:yVal>
          <c:smooth val="1"/>
        </c:ser>
        <c:ser>
          <c:idx val="11"/>
          <c:order val="11"/>
          <c:tx>
            <c:strRef>
              <c:f>Parameters!$C$2:$C$3</c:f>
              <c:strCache>
                <c:ptCount val="1"/>
                <c:pt idx="0">
                  <c:v>Rk (Ohms) 1500</c:v>
                </c:pt>
              </c:strCache>
            </c:strRef>
          </c:tx>
          <c:spPr>
            <a:ln w="38100">
              <a:solidFill>
                <a:srgbClr val="1FB714"/>
              </a:solidFill>
              <a:prstDash val="solid"/>
            </a:ln>
          </c:spPr>
          <c:marker>
            <c:symbol val="none"/>
          </c:marker>
          <c:xVal>
            <c:numRef>
              <c:f>'Graph Data'!$AE$5:$AE$13</c:f>
              <c:numCache>
                <c:formatCode>General</c:formatCode>
                <c:ptCount val="9"/>
                <c:pt idx="0">
                  <c:v>0.0</c:v>
                </c:pt>
                <c:pt idx="1">
                  <c:v>38.30196323194236</c:v>
                </c:pt>
                <c:pt idx="2">
                  <c:v>111.3120296715546</c:v>
                </c:pt>
                <c:pt idx="3">
                  <c:v>184.5701025654858</c:v>
                </c:pt>
                <c:pt idx="4">
                  <c:v>253.3662025318374</c:v>
                </c:pt>
                <c:pt idx="5">
                  <c:v>313.4712434843928</c:v>
                </c:pt>
                <c:pt idx="6">
                  <c:v>384.151977608463</c:v>
                </c:pt>
                <c:pt idx="7">
                  <c:v>449.3473436932487</c:v>
                </c:pt>
                <c:pt idx="8">
                  <c:v>509.318811875916</c:v>
                </c:pt>
              </c:numCache>
            </c:numRef>
          </c:xVal>
          <c:yVal>
            <c:numRef>
              <c:f>'Graph Data'!$AD$5:$AD$13</c:f>
              <c:numCache>
                <c:formatCode>General</c:formatCode>
                <c:ptCount val="9"/>
                <c:pt idx="0">
                  <c:v>0.0</c:v>
                </c:pt>
                <c:pt idx="1">
                  <c:v>0.666666666666667</c:v>
                </c:pt>
                <c:pt idx="2">
                  <c:v>1.333333333333333</c:v>
                </c:pt>
                <c:pt idx="3">
                  <c:v>2.0</c:v>
                </c:pt>
                <c:pt idx="4">
                  <c:v>2.666666666666666</c:v>
                </c:pt>
                <c:pt idx="5">
                  <c:v>3.333333333333333</c:v>
                </c:pt>
                <c:pt idx="6">
                  <c:v>4.0</c:v>
                </c:pt>
                <c:pt idx="7">
                  <c:v>4.666666666666667</c:v>
                </c:pt>
                <c:pt idx="8">
                  <c:v>5.333333333333332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4668472"/>
        <c:axId val="2104676552"/>
      </c:scatterChart>
      <c:valAx>
        <c:axId val="2104668472"/>
        <c:scaling>
          <c:orientation val="minMax"/>
          <c:max val="500.0"/>
        </c:scaling>
        <c:delete val="0"/>
        <c:axPos val="b"/>
        <c:majorGridlines>
          <c:spPr>
            <a:ln w="38100">
              <a:solidFill>
                <a:srgbClr val="808080"/>
              </a:solidFill>
              <a:prstDash val="solid"/>
            </a:ln>
          </c:spPr>
        </c:majorGridlines>
        <c:minorGridlines>
          <c:spPr>
            <a:ln w="3175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Va (V)</a:t>
                </a:r>
              </a:p>
            </c:rich>
          </c:tx>
          <c:layout>
            <c:manualLayout>
              <c:xMode val="edge"/>
              <c:yMode val="edge"/>
              <c:x val="0.457931034482759"/>
              <c:y val="0.90723981900452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04676552"/>
        <c:crosses val="autoZero"/>
        <c:crossBetween val="midCat"/>
      </c:valAx>
      <c:valAx>
        <c:axId val="2104676552"/>
        <c:scaling>
          <c:orientation val="minMax"/>
          <c:max val="30.0"/>
        </c:scaling>
        <c:delete val="0"/>
        <c:axPos val="l"/>
        <c:majorGridlines>
          <c:spPr>
            <a:ln w="25400">
              <a:solidFill>
                <a:srgbClr val="000000"/>
              </a:solidFill>
              <a:prstDash val="solid"/>
            </a:ln>
          </c:spPr>
        </c:majorGridlines>
        <c:minorGridlines>
          <c:spPr>
            <a:ln w="12700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Ia (mA)</a:t>
                </a:r>
              </a:p>
            </c:rich>
          </c:tx>
          <c:layout>
            <c:manualLayout>
              <c:xMode val="edge"/>
              <c:yMode val="edge"/>
              <c:x val="0.0096551724137931"/>
              <c:y val="0.38687782805429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04668472"/>
        <c:crosses val="autoZero"/>
        <c:crossBetween val="midCat"/>
      </c:valAx>
      <c:spPr>
        <a:solidFill>
          <a:srgbClr val="FFFFFF"/>
        </a:solidFill>
        <a:ln w="12700">
          <a:solidFill>
            <a:srgbClr val="FFFF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ECC82 / 12AU7</a:t>
            </a:r>
          </a:p>
        </c:rich>
      </c:tx>
      <c:layout>
        <c:manualLayout>
          <c:xMode val="edge"/>
          <c:yMode val="edge"/>
          <c:x val="0.424827586206897"/>
          <c:y val="0.036199095022624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882758620689655"/>
          <c:y val="0.083710407239819"/>
          <c:w val="0.830344827586207"/>
          <c:h val="0.776018099547511"/>
        </c:manualLayout>
      </c:layout>
      <c:scatterChart>
        <c:scatterStyle val="smoothMarker"/>
        <c:varyColors val="0"/>
        <c:ser>
          <c:idx val="0"/>
          <c:order val="0"/>
          <c:tx>
            <c:v>Vgk = 0V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Data'!$C$29:$R$29</c:f>
              <c:numCache>
                <c:formatCode>General</c:formatCode>
                <c:ptCount val="16"/>
                <c:pt idx="0">
                  <c:v>0.0</c:v>
                </c:pt>
                <c:pt idx="1">
                  <c:v>2.5</c:v>
                </c:pt>
                <c:pt idx="2">
                  <c:v>5.11</c:v>
                </c:pt>
                <c:pt idx="3">
                  <c:v>8.25</c:v>
                </c:pt>
                <c:pt idx="4">
                  <c:v>12.0</c:v>
                </c:pt>
                <c:pt idx="5">
                  <c:v>16.0</c:v>
                </c:pt>
                <c:pt idx="6">
                  <c:v>20.0</c:v>
                </c:pt>
                <c:pt idx="7">
                  <c:v>24.0</c:v>
                </c:pt>
              </c:numCache>
            </c:numRef>
          </c:yVal>
          <c:smooth val="1"/>
        </c:ser>
        <c:ser>
          <c:idx val="1"/>
          <c:order val="1"/>
          <c:tx>
            <c:v>-2V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Data'!$C$30:$R$30</c:f>
              <c:numCache>
                <c:formatCode>General</c:formatCode>
                <c:ptCount val="16"/>
                <c:pt idx="0">
                  <c:v>0.0</c:v>
                </c:pt>
                <c:pt idx="1">
                  <c:v>0.25</c:v>
                </c:pt>
                <c:pt idx="2">
                  <c:v>1.5</c:v>
                </c:pt>
                <c:pt idx="3">
                  <c:v>3.5</c:v>
                </c:pt>
                <c:pt idx="4">
                  <c:v>6.0</c:v>
                </c:pt>
                <c:pt idx="5">
                  <c:v>9.29</c:v>
                </c:pt>
                <c:pt idx="6">
                  <c:v>13.0</c:v>
                </c:pt>
                <c:pt idx="7">
                  <c:v>17.0</c:v>
                </c:pt>
                <c:pt idx="8">
                  <c:v>21.2</c:v>
                </c:pt>
              </c:numCache>
            </c:numRef>
          </c:yVal>
          <c:smooth val="1"/>
        </c:ser>
        <c:ser>
          <c:idx val="2"/>
          <c:order val="2"/>
          <c:tx>
            <c:v>-4V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Data'!$C$31:$R$31</c:f>
              <c:numCache>
                <c:formatCode>General</c:formatCode>
                <c:ptCount val="16"/>
                <c:pt idx="1">
                  <c:v>0.0</c:v>
                </c:pt>
                <c:pt idx="2">
                  <c:v>0.2</c:v>
                </c:pt>
                <c:pt idx="3">
                  <c:v>1.0</c:v>
                </c:pt>
                <c:pt idx="4">
                  <c:v>2.5</c:v>
                </c:pt>
                <c:pt idx="5">
                  <c:v>4.51</c:v>
                </c:pt>
                <c:pt idx="6">
                  <c:v>7.5</c:v>
                </c:pt>
                <c:pt idx="7">
                  <c:v>10.87</c:v>
                </c:pt>
                <c:pt idx="8">
                  <c:v>14.5</c:v>
                </c:pt>
                <c:pt idx="9">
                  <c:v>18.6</c:v>
                </c:pt>
                <c:pt idx="10">
                  <c:v>23.0</c:v>
                </c:pt>
              </c:numCache>
            </c:numRef>
          </c:yVal>
          <c:smooth val="1"/>
        </c:ser>
        <c:ser>
          <c:idx val="3"/>
          <c:order val="3"/>
          <c:tx>
            <c:v>-6V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Data'!$C$32:$R$32</c:f>
              <c:numCache>
                <c:formatCode>General</c:formatCode>
                <c:ptCount val="16"/>
                <c:pt idx="2">
                  <c:v>0.0</c:v>
                </c:pt>
                <c:pt idx="3">
                  <c:v>0.1</c:v>
                </c:pt>
                <c:pt idx="4">
                  <c:v>0.75</c:v>
                </c:pt>
                <c:pt idx="5">
                  <c:v>1.9</c:v>
                </c:pt>
                <c:pt idx="6">
                  <c:v>3.64</c:v>
                </c:pt>
                <c:pt idx="7">
                  <c:v>6.25</c:v>
                </c:pt>
                <c:pt idx="8">
                  <c:v>9.4</c:v>
                </c:pt>
                <c:pt idx="9">
                  <c:v>13.0</c:v>
                </c:pt>
                <c:pt idx="10">
                  <c:v>17.0</c:v>
                </c:pt>
                <c:pt idx="11">
                  <c:v>21.0</c:v>
                </c:pt>
              </c:numCache>
            </c:numRef>
          </c:yVal>
          <c:smooth val="1"/>
        </c:ser>
        <c:ser>
          <c:idx val="4"/>
          <c:order val="4"/>
          <c:tx>
            <c:v>-8V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Data'!$C$33:$R$33</c:f>
              <c:numCache>
                <c:formatCode>General</c:formatCode>
                <c:ptCount val="16"/>
                <c:pt idx="3">
                  <c:v>0.0</c:v>
                </c:pt>
                <c:pt idx="4">
                  <c:v>0.1</c:v>
                </c:pt>
                <c:pt idx="5">
                  <c:v>0.6</c:v>
                </c:pt>
                <c:pt idx="6">
                  <c:v>1.6</c:v>
                </c:pt>
                <c:pt idx="7">
                  <c:v>3.1</c:v>
                </c:pt>
                <c:pt idx="8">
                  <c:v>5.2</c:v>
                </c:pt>
                <c:pt idx="9">
                  <c:v>8.04</c:v>
                </c:pt>
                <c:pt idx="10">
                  <c:v>11.63</c:v>
                </c:pt>
                <c:pt idx="11">
                  <c:v>15.5</c:v>
                </c:pt>
                <c:pt idx="12">
                  <c:v>19.62</c:v>
                </c:pt>
              </c:numCache>
            </c:numRef>
          </c:yVal>
          <c:smooth val="1"/>
        </c:ser>
        <c:ser>
          <c:idx val="5"/>
          <c:order val="5"/>
          <c:tx>
            <c:v>-10V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Data'!$C$34:$R$34</c:f>
              <c:numCache>
                <c:formatCode>General</c:formatCode>
                <c:ptCount val="16"/>
                <c:pt idx="5">
                  <c:v>0.0</c:v>
                </c:pt>
                <c:pt idx="6">
                  <c:v>0.5</c:v>
                </c:pt>
                <c:pt idx="7">
                  <c:v>1.2</c:v>
                </c:pt>
                <c:pt idx="8">
                  <c:v>2.61</c:v>
                </c:pt>
                <c:pt idx="9">
                  <c:v>4.62</c:v>
                </c:pt>
                <c:pt idx="10">
                  <c:v>7.17</c:v>
                </c:pt>
                <c:pt idx="11">
                  <c:v>10.43</c:v>
                </c:pt>
                <c:pt idx="12">
                  <c:v>14.0</c:v>
                </c:pt>
                <c:pt idx="13">
                  <c:v>18.0</c:v>
                </c:pt>
              </c:numCache>
            </c:numRef>
          </c:yVal>
          <c:smooth val="1"/>
        </c:ser>
        <c:ser>
          <c:idx val="6"/>
          <c:order val="6"/>
          <c:tx>
            <c:v>-12V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Data'!$C$35:$R$35</c:f>
              <c:numCache>
                <c:formatCode>General</c:formatCode>
                <c:ptCount val="16"/>
                <c:pt idx="6">
                  <c:v>0.0</c:v>
                </c:pt>
                <c:pt idx="7">
                  <c:v>0.4</c:v>
                </c:pt>
                <c:pt idx="8">
                  <c:v>1.0</c:v>
                </c:pt>
                <c:pt idx="9">
                  <c:v>2.39</c:v>
                </c:pt>
                <c:pt idx="10">
                  <c:v>4.2</c:v>
                </c:pt>
                <c:pt idx="11">
                  <c:v>6.74</c:v>
                </c:pt>
                <c:pt idx="12">
                  <c:v>9.8</c:v>
                </c:pt>
                <c:pt idx="13">
                  <c:v>13.0</c:v>
                </c:pt>
                <c:pt idx="14">
                  <c:v>16.36</c:v>
                </c:pt>
              </c:numCache>
            </c:numRef>
          </c:yVal>
          <c:smooth val="1"/>
        </c:ser>
        <c:ser>
          <c:idx val="7"/>
          <c:order val="7"/>
          <c:tx>
            <c:v>-14V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Data'!$C$36:$R$36</c:f>
              <c:numCache>
                <c:formatCode>General</c:formatCode>
                <c:ptCount val="16"/>
                <c:pt idx="7">
                  <c:v>0.0</c:v>
                </c:pt>
                <c:pt idx="8">
                  <c:v>0.3</c:v>
                </c:pt>
                <c:pt idx="9">
                  <c:v>1.0</c:v>
                </c:pt>
                <c:pt idx="10">
                  <c:v>2.28</c:v>
                </c:pt>
                <c:pt idx="11">
                  <c:v>3.91</c:v>
                </c:pt>
                <c:pt idx="12">
                  <c:v>5.87</c:v>
                </c:pt>
                <c:pt idx="13">
                  <c:v>8.37</c:v>
                </c:pt>
                <c:pt idx="14">
                  <c:v>11.41</c:v>
                </c:pt>
                <c:pt idx="15">
                  <c:v>14.5</c:v>
                </c:pt>
              </c:numCache>
            </c:numRef>
          </c:yVal>
          <c:smooth val="1"/>
        </c:ser>
        <c:ser>
          <c:idx val="8"/>
          <c:order val="8"/>
          <c:tx>
            <c:v>-16V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Data'!$C$37:$R$37</c:f>
              <c:numCache>
                <c:formatCode>General</c:formatCode>
                <c:ptCount val="16"/>
                <c:pt idx="8">
                  <c:v>0.0</c:v>
                </c:pt>
                <c:pt idx="9">
                  <c:v>0.4</c:v>
                </c:pt>
                <c:pt idx="10">
                  <c:v>1.0</c:v>
                </c:pt>
                <c:pt idx="11">
                  <c:v>2.0</c:v>
                </c:pt>
                <c:pt idx="12">
                  <c:v>3.4</c:v>
                </c:pt>
                <c:pt idx="13">
                  <c:v>5.11</c:v>
                </c:pt>
                <c:pt idx="14">
                  <c:v>7.39</c:v>
                </c:pt>
                <c:pt idx="15">
                  <c:v>10.27</c:v>
                </c:pt>
              </c:numCache>
            </c:numRef>
          </c:yVal>
          <c:smooth val="1"/>
        </c:ser>
        <c:ser>
          <c:idx val="9"/>
          <c:order val="9"/>
          <c:tx>
            <c:v>-18V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Data'!$C$38:$R$38</c:f>
              <c:numCache>
                <c:formatCode>General</c:formatCode>
                <c:ptCount val="16"/>
                <c:pt idx="9">
                  <c:v>0.0</c:v>
                </c:pt>
                <c:pt idx="10">
                  <c:v>0.4</c:v>
                </c:pt>
                <c:pt idx="11">
                  <c:v>0.87</c:v>
                </c:pt>
                <c:pt idx="12">
                  <c:v>1.68</c:v>
                </c:pt>
                <c:pt idx="13">
                  <c:v>3.0</c:v>
                </c:pt>
                <c:pt idx="14">
                  <c:v>4.78</c:v>
                </c:pt>
                <c:pt idx="15">
                  <c:v>7.0</c:v>
                </c:pt>
              </c:numCache>
            </c:numRef>
          </c:yVal>
          <c:smooth val="1"/>
        </c:ser>
        <c:ser>
          <c:idx val="10"/>
          <c:order val="10"/>
          <c:tx>
            <c:v>-20V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Data'!$C$39:$R$39</c:f>
              <c:numCache>
                <c:formatCode>General</c:formatCode>
                <c:ptCount val="16"/>
                <c:pt idx="10">
                  <c:v>0.0</c:v>
                </c:pt>
                <c:pt idx="11">
                  <c:v>0.1</c:v>
                </c:pt>
                <c:pt idx="12">
                  <c:v>0.6</c:v>
                </c:pt>
                <c:pt idx="13">
                  <c:v>1.47</c:v>
                </c:pt>
                <c:pt idx="14">
                  <c:v>2.72</c:v>
                </c:pt>
                <c:pt idx="15">
                  <c:v>4.51</c:v>
                </c:pt>
              </c:numCache>
            </c:numRef>
          </c:yVal>
          <c:smooth val="1"/>
        </c:ser>
        <c:ser>
          <c:idx val="11"/>
          <c:order val="11"/>
          <c:tx>
            <c:strRef>
              <c:f>'Valve Spec'!$B$1</c:f>
              <c:strCache>
                <c:ptCount val="1"/>
                <c:pt idx="0">
                  <c:v>Pmax (W)</c:v>
                </c:pt>
              </c:strCache>
            </c:strRef>
          </c:tx>
          <c:spPr>
            <a:ln w="38100">
              <a:solidFill>
                <a:srgbClr val="DD0806"/>
              </a:solidFill>
              <a:prstDash val="solid"/>
            </a:ln>
          </c:spPr>
          <c:marker>
            <c:symbol val="square"/>
            <c:size val="8"/>
            <c:spPr>
              <a:noFill/>
              <a:ln w="9525">
                <a:noFill/>
              </a:ln>
            </c:spPr>
          </c:marker>
          <c:xVal>
            <c:numRef>
              <c:f>'Graph Data'!$F$3:$V$3</c:f>
              <c:numCache>
                <c:formatCode>General</c:formatCode>
                <c:ptCount val="17"/>
                <c:pt idx="0">
                  <c:v>75.0</c:v>
                </c:pt>
                <c:pt idx="1">
                  <c:v>100.0</c:v>
                </c:pt>
                <c:pt idx="2">
                  <c:v>125.0</c:v>
                </c:pt>
                <c:pt idx="3">
                  <c:v>150.0</c:v>
                </c:pt>
                <c:pt idx="4">
                  <c:v>175.0</c:v>
                </c:pt>
                <c:pt idx="5">
                  <c:v>200.0</c:v>
                </c:pt>
                <c:pt idx="6">
                  <c:v>226.1</c:v>
                </c:pt>
                <c:pt idx="7">
                  <c:v>250.0</c:v>
                </c:pt>
                <c:pt idx="8">
                  <c:v>275.0</c:v>
                </c:pt>
                <c:pt idx="9">
                  <c:v>300.0</c:v>
                </c:pt>
                <c:pt idx="10">
                  <c:v>325.0</c:v>
                </c:pt>
                <c:pt idx="11">
                  <c:v>350.0</c:v>
                </c:pt>
                <c:pt idx="12">
                  <c:v>375.0</c:v>
                </c:pt>
                <c:pt idx="13">
                  <c:v>400.0</c:v>
                </c:pt>
                <c:pt idx="14">
                  <c:v>425.0</c:v>
                </c:pt>
                <c:pt idx="15">
                  <c:v>450.0</c:v>
                </c:pt>
                <c:pt idx="16">
                  <c:v>475.0</c:v>
                </c:pt>
              </c:numCache>
            </c:numRef>
          </c:xVal>
          <c:yVal>
            <c:numRef>
              <c:f>'Graph Data'!$F$41:$V$41</c:f>
              <c:numCache>
                <c:formatCode>General</c:formatCode>
                <c:ptCount val="17"/>
                <c:pt idx="0">
                  <c:v>36.66666666666666</c:v>
                </c:pt>
                <c:pt idx="1">
                  <c:v>27.5</c:v>
                </c:pt>
                <c:pt idx="2">
                  <c:v>22.0</c:v>
                </c:pt>
                <c:pt idx="3">
                  <c:v>18.33333333333333</c:v>
                </c:pt>
                <c:pt idx="4">
                  <c:v>15.71428571428572</c:v>
                </c:pt>
                <c:pt idx="5">
                  <c:v>13.75</c:v>
                </c:pt>
                <c:pt idx="6">
                  <c:v>12.16275984077842</c:v>
                </c:pt>
                <c:pt idx="7">
                  <c:v>11.0</c:v>
                </c:pt>
                <c:pt idx="8">
                  <c:v>10.0</c:v>
                </c:pt>
                <c:pt idx="9">
                  <c:v>9.166666666666666</c:v>
                </c:pt>
                <c:pt idx="10">
                  <c:v>8.461538461538461</c:v>
                </c:pt>
                <c:pt idx="11">
                  <c:v>7.857142857142858</c:v>
                </c:pt>
                <c:pt idx="12">
                  <c:v>7.333333333333332</c:v>
                </c:pt>
                <c:pt idx="13">
                  <c:v>6.875</c:v>
                </c:pt>
                <c:pt idx="14">
                  <c:v>6.470588235294117</c:v>
                </c:pt>
                <c:pt idx="15">
                  <c:v>6.111111111111112</c:v>
                </c:pt>
                <c:pt idx="16">
                  <c:v>5.789473684210526</c:v>
                </c:pt>
              </c:numCache>
            </c:numRef>
          </c:yVal>
          <c:smooth val="1"/>
        </c:ser>
        <c:ser>
          <c:idx val="12"/>
          <c:order val="12"/>
          <c:tx>
            <c:strRef>
              <c:f>Parameters!$B$2:$B$3</c:f>
              <c:strCache>
                <c:ptCount val="1"/>
                <c:pt idx="0">
                  <c:v>Ra (Ohms) 100000</c:v>
                </c:pt>
              </c:strCache>
            </c:strRef>
          </c:tx>
          <c:spPr>
            <a:ln w="38100">
              <a:solidFill>
                <a:srgbClr val="0000D4"/>
              </a:solidFill>
              <a:prstDash val="solid"/>
            </a:ln>
          </c:spPr>
          <c:marker>
            <c:symbol val="none"/>
          </c:marker>
          <c:xVal>
            <c:numRef>
              <c:f>'Graph Data'!$B$132:$C$132</c:f>
              <c:numCache>
                <c:formatCode>General</c:formatCode>
                <c:ptCount val="2"/>
                <c:pt idx="0">
                  <c:v>0.0</c:v>
                </c:pt>
                <c:pt idx="1">
                  <c:v>240.0</c:v>
                </c:pt>
              </c:numCache>
            </c:numRef>
          </c:xVal>
          <c:yVal>
            <c:numRef>
              <c:f>'Graph Data'!$B$133:$C$133</c:f>
              <c:numCache>
                <c:formatCode>General</c:formatCode>
                <c:ptCount val="2"/>
                <c:pt idx="0" formatCode="0.00">
                  <c:v>2.364532019704433</c:v>
                </c:pt>
                <c:pt idx="1">
                  <c:v>0.0</c:v>
                </c:pt>
              </c:numCache>
            </c:numRef>
          </c:yVal>
          <c:smooth val="1"/>
        </c:ser>
        <c:ser>
          <c:idx val="13"/>
          <c:order val="13"/>
          <c:tx>
            <c:strRef>
              <c:f>Parameters!$C$2:$C$3</c:f>
              <c:strCache>
                <c:ptCount val="1"/>
                <c:pt idx="0">
                  <c:v>Rk (Ohms) 1500</c:v>
                </c:pt>
              </c:strCache>
            </c:strRef>
          </c:tx>
          <c:spPr>
            <a:ln w="38100">
              <a:solidFill>
                <a:srgbClr val="1FB714"/>
              </a:solidFill>
              <a:prstDash val="solid"/>
            </a:ln>
          </c:spPr>
          <c:marker>
            <c:symbol val="none"/>
          </c:marker>
          <c:xVal>
            <c:numRef>
              <c:f>'Graph Data'!$AE$29:$AE$39</c:f>
              <c:numCache>
                <c:formatCode>General</c:formatCode>
                <c:ptCount val="11"/>
                <c:pt idx="0">
                  <c:v>0.0</c:v>
                </c:pt>
                <c:pt idx="1">
                  <c:v>43.04767354271972</c:v>
                </c:pt>
                <c:pt idx="2">
                  <c:v>99.35165556375401</c:v>
                </c:pt>
                <c:pt idx="3">
                  <c:v>151.420340337337</c:v>
                </c:pt>
                <c:pt idx="4">
                  <c:v>199.8656020369422</c:v>
                </c:pt>
                <c:pt idx="5">
                  <c:v>245.3325171807264</c:v>
                </c:pt>
                <c:pt idx="6">
                  <c:v>287.289947792452</c:v>
                </c:pt>
                <c:pt idx="7">
                  <c:v>333.6626167260014</c:v>
                </c:pt>
                <c:pt idx="8">
                  <c:v>379.4360691332313</c:v>
                </c:pt>
                <c:pt idx="9">
                  <c:v>421.7512183459768</c:v>
                </c:pt>
                <c:pt idx="10">
                  <c:v>459.793512237283</c:v>
                </c:pt>
              </c:numCache>
            </c:numRef>
          </c:xVal>
          <c:yVal>
            <c:numRef>
              <c:f>'Graph Data'!$AD$29:$AD$39</c:f>
              <c:numCache>
                <c:formatCode>General</c:formatCode>
                <c:ptCount val="11"/>
                <c:pt idx="0">
                  <c:v>0.0</c:v>
                </c:pt>
                <c:pt idx="1">
                  <c:v>1.333333333333333</c:v>
                </c:pt>
                <c:pt idx="2">
                  <c:v>2.666666666666666</c:v>
                </c:pt>
                <c:pt idx="3">
                  <c:v>4.0</c:v>
                </c:pt>
                <c:pt idx="4">
                  <c:v>5.333333333333332</c:v>
                </c:pt>
                <c:pt idx="5">
                  <c:v>6.666666666666667</c:v>
                </c:pt>
                <c:pt idx="6">
                  <c:v>8.0</c:v>
                </c:pt>
                <c:pt idx="7">
                  <c:v>9.333333333333333</c:v>
                </c:pt>
                <c:pt idx="8">
                  <c:v>10.66666666666667</c:v>
                </c:pt>
                <c:pt idx="9">
                  <c:v>12.0</c:v>
                </c:pt>
                <c:pt idx="10">
                  <c:v>13.33333333333333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2181096"/>
        <c:axId val="2102187496"/>
      </c:scatterChart>
      <c:valAx>
        <c:axId val="2102181096"/>
        <c:scaling>
          <c:orientation val="minMax"/>
          <c:max val="375.0"/>
          <c:min val="0.0"/>
        </c:scaling>
        <c:delete val="0"/>
        <c:axPos val="b"/>
        <c:majorGridlines>
          <c:spPr>
            <a:ln w="38100">
              <a:solidFill>
                <a:srgbClr val="808080"/>
              </a:solidFill>
              <a:prstDash val="solid"/>
            </a:ln>
          </c:spPr>
        </c:majorGridlines>
        <c:minorGridlines>
          <c:spPr>
            <a:ln w="12700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5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Va (V)</a:t>
                </a:r>
              </a:p>
            </c:rich>
          </c:tx>
          <c:layout>
            <c:manualLayout>
              <c:xMode val="edge"/>
              <c:yMode val="edge"/>
              <c:x val="0.470344827586207"/>
              <c:y val="0.90950226244343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02187496"/>
        <c:crosses val="autoZero"/>
        <c:crossBetween val="midCat"/>
      </c:valAx>
      <c:valAx>
        <c:axId val="2102187496"/>
        <c:scaling>
          <c:orientation val="minMax"/>
          <c:max val="25.0"/>
        </c:scaling>
        <c:delete val="0"/>
        <c:axPos val="l"/>
        <c:majorGridlines>
          <c:spPr>
            <a:ln w="25400">
              <a:solidFill>
                <a:srgbClr val="000000"/>
              </a:solidFill>
              <a:prstDash val="solid"/>
            </a:ln>
          </c:spPr>
        </c:majorGridlines>
        <c:minorGridlines>
          <c:spPr>
            <a:ln w="12700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5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Ia (mA)</a:t>
                </a:r>
              </a:p>
            </c:rich>
          </c:tx>
          <c:layout>
            <c:manualLayout>
              <c:xMode val="edge"/>
              <c:yMode val="edge"/>
              <c:x val="0.0151724137931034"/>
              <c:y val="0.4049773755656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02181096"/>
        <c:crosses val="autoZero"/>
        <c:crossBetween val="midCat"/>
      </c:valAx>
      <c:spPr>
        <a:solidFill>
          <a:srgbClr val="FFFFFF"/>
        </a:solidFill>
        <a:ln w="38100">
          <a:solidFill>
            <a:srgbClr val="FFFFFF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ECC83 / 12AX7</a:t>
            </a:r>
          </a:p>
        </c:rich>
      </c:tx>
      <c:layout>
        <c:manualLayout>
          <c:xMode val="edge"/>
          <c:yMode val="edge"/>
          <c:x val="0.426206896551724"/>
          <c:y val="0.036199095022624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5862068965517"/>
          <c:y val="0.085972850678733"/>
          <c:w val="0.786206896551724"/>
          <c:h val="0.791855203619909"/>
        </c:manualLayout>
      </c:layout>
      <c:scatterChart>
        <c:scatterStyle val="smoothMarker"/>
        <c:varyColors val="0"/>
        <c:ser>
          <c:idx val="0"/>
          <c:order val="0"/>
          <c:tx>
            <c:v>Vgk = 0V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Data'!$C$55:$R$55</c:f>
              <c:numCache>
                <c:formatCode>General</c:formatCode>
                <c:ptCount val="16"/>
                <c:pt idx="0">
                  <c:v>0.0</c:v>
                </c:pt>
                <c:pt idx="1">
                  <c:v>0.7</c:v>
                </c:pt>
                <c:pt idx="2">
                  <c:v>1.15</c:v>
                </c:pt>
                <c:pt idx="3">
                  <c:v>1.62</c:v>
                </c:pt>
                <c:pt idx="4">
                  <c:v>2.12</c:v>
                </c:pt>
                <c:pt idx="5">
                  <c:v>2.68</c:v>
                </c:pt>
                <c:pt idx="6">
                  <c:v>3.25</c:v>
                </c:pt>
                <c:pt idx="7">
                  <c:v>3.82</c:v>
                </c:pt>
                <c:pt idx="8">
                  <c:v>4.41</c:v>
                </c:pt>
                <c:pt idx="9">
                  <c:v>5.0</c:v>
                </c:pt>
              </c:numCache>
            </c:numRef>
          </c:yVal>
          <c:smooth val="1"/>
        </c:ser>
        <c:ser>
          <c:idx val="1"/>
          <c:order val="1"/>
          <c:tx>
            <c:v>-0.5V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Data'!$C$56:$R$56</c:f>
              <c:numCache>
                <c:formatCode>General</c:formatCode>
                <c:ptCount val="16"/>
                <c:pt idx="0">
                  <c:v>0.0</c:v>
                </c:pt>
                <c:pt idx="1">
                  <c:v>0.2</c:v>
                </c:pt>
                <c:pt idx="2">
                  <c:v>0.46</c:v>
                </c:pt>
                <c:pt idx="3">
                  <c:v>0.8</c:v>
                </c:pt>
                <c:pt idx="4">
                  <c:v>1.2</c:v>
                </c:pt>
                <c:pt idx="5">
                  <c:v>1.63</c:v>
                </c:pt>
                <c:pt idx="6">
                  <c:v>2.13</c:v>
                </c:pt>
                <c:pt idx="7">
                  <c:v>2.7</c:v>
                </c:pt>
                <c:pt idx="8">
                  <c:v>3.28</c:v>
                </c:pt>
                <c:pt idx="9">
                  <c:v>3.89</c:v>
                </c:pt>
                <c:pt idx="10">
                  <c:v>4.5</c:v>
                </c:pt>
              </c:numCache>
            </c:numRef>
          </c:yVal>
          <c:smooth val="1"/>
        </c:ser>
        <c:ser>
          <c:idx val="2"/>
          <c:order val="2"/>
          <c:tx>
            <c:v>-1V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Data'!$C$57:$R$57</c:f>
              <c:numCache>
                <c:formatCode>General</c:formatCode>
                <c:ptCount val="16"/>
                <c:pt idx="0">
                  <c:v>0.0</c:v>
                </c:pt>
                <c:pt idx="1">
                  <c:v>0.02</c:v>
                </c:pt>
                <c:pt idx="2">
                  <c:v>0.08</c:v>
                </c:pt>
                <c:pt idx="3">
                  <c:v>0.24</c:v>
                </c:pt>
                <c:pt idx="4">
                  <c:v>0.48</c:v>
                </c:pt>
                <c:pt idx="5">
                  <c:v>0.77</c:v>
                </c:pt>
                <c:pt idx="6">
                  <c:v>1.15</c:v>
                </c:pt>
                <c:pt idx="7">
                  <c:v>1.6</c:v>
                </c:pt>
                <c:pt idx="8">
                  <c:v>2.12</c:v>
                </c:pt>
                <c:pt idx="9">
                  <c:v>2.72</c:v>
                </c:pt>
                <c:pt idx="10">
                  <c:v>3.3</c:v>
                </c:pt>
                <c:pt idx="11">
                  <c:v>3.88</c:v>
                </c:pt>
              </c:numCache>
            </c:numRef>
          </c:yVal>
          <c:smooth val="1"/>
        </c:ser>
        <c:ser>
          <c:idx val="3"/>
          <c:order val="3"/>
          <c:tx>
            <c:v>-1.5V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Data'!$C$58:$R$58</c:f>
              <c:numCache>
                <c:formatCode>General</c:formatCode>
                <c:ptCount val="16"/>
                <c:pt idx="2">
                  <c:v>0.0</c:v>
                </c:pt>
                <c:pt idx="3">
                  <c:v>0.01</c:v>
                </c:pt>
                <c:pt idx="4">
                  <c:v>0.11</c:v>
                </c:pt>
                <c:pt idx="5">
                  <c:v>0.28</c:v>
                </c:pt>
                <c:pt idx="6">
                  <c:v>0.5</c:v>
                </c:pt>
                <c:pt idx="7">
                  <c:v>0.77</c:v>
                </c:pt>
                <c:pt idx="8">
                  <c:v>1.15</c:v>
                </c:pt>
                <c:pt idx="9">
                  <c:v>1.61</c:v>
                </c:pt>
                <c:pt idx="10">
                  <c:v>2.1</c:v>
                </c:pt>
                <c:pt idx="11">
                  <c:v>2.65</c:v>
                </c:pt>
                <c:pt idx="12">
                  <c:v>3.25</c:v>
                </c:pt>
              </c:numCache>
            </c:numRef>
          </c:yVal>
          <c:smooth val="1"/>
        </c:ser>
        <c:ser>
          <c:idx val="4"/>
          <c:order val="4"/>
          <c:tx>
            <c:v>-2V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Data'!$C$59:$R$59</c:f>
              <c:numCache>
                <c:formatCode>General</c:formatCode>
                <c:ptCount val="16"/>
                <c:pt idx="4">
                  <c:v>0.0</c:v>
                </c:pt>
                <c:pt idx="5">
                  <c:v>0.05</c:v>
                </c:pt>
                <c:pt idx="6">
                  <c:v>0.13</c:v>
                </c:pt>
                <c:pt idx="7">
                  <c:v>0.28</c:v>
                </c:pt>
                <c:pt idx="8">
                  <c:v>0.5</c:v>
                </c:pt>
                <c:pt idx="9">
                  <c:v>0.8</c:v>
                </c:pt>
                <c:pt idx="10">
                  <c:v>1.2</c:v>
                </c:pt>
                <c:pt idx="11">
                  <c:v>1.65</c:v>
                </c:pt>
                <c:pt idx="12">
                  <c:v>2.16</c:v>
                </c:pt>
                <c:pt idx="13">
                  <c:v>2.7</c:v>
                </c:pt>
              </c:numCache>
            </c:numRef>
          </c:yVal>
          <c:smooth val="1"/>
        </c:ser>
        <c:ser>
          <c:idx val="5"/>
          <c:order val="5"/>
          <c:tx>
            <c:v>-2.5V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Data'!$C$60:$R$60</c:f>
              <c:numCache>
                <c:formatCode>General</c:formatCode>
                <c:ptCount val="16"/>
                <c:pt idx="5">
                  <c:v>0.0</c:v>
                </c:pt>
                <c:pt idx="6">
                  <c:v>0.01</c:v>
                </c:pt>
                <c:pt idx="7">
                  <c:v>0.03</c:v>
                </c:pt>
                <c:pt idx="8">
                  <c:v>0.12</c:v>
                </c:pt>
                <c:pt idx="9">
                  <c:v>0.28</c:v>
                </c:pt>
                <c:pt idx="10">
                  <c:v>0.5</c:v>
                </c:pt>
                <c:pt idx="11">
                  <c:v>0.8</c:v>
                </c:pt>
                <c:pt idx="12">
                  <c:v>1.2</c:v>
                </c:pt>
                <c:pt idx="13">
                  <c:v>1.68</c:v>
                </c:pt>
                <c:pt idx="14">
                  <c:v>2.2</c:v>
                </c:pt>
              </c:numCache>
            </c:numRef>
          </c:yVal>
          <c:smooth val="1"/>
        </c:ser>
        <c:ser>
          <c:idx val="6"/>
          <c:order val="6"/>
          <c:tx>
            <c:v>-3V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Data'!$C$61:$R$61</c:f>
              <c:numCache>
                <c:formatCode>General</c:formatCode>
                <c:ptCount val="16"/>
                <c:pt idx="7">
                  <c:v>0.0</c:v>
                </c:pt>
                <c:pt idx="8">
                  <c:v>0.01</c:v>
                </c:pt>
                <c:pt idx="9">
                  <c:v>0.08</c:v>
                </c:pt>
                <c:pt idx="10">
                  <c:v>0.18</c:v>
                </c:pt>
                <c:pt idx="11">
                  <c:v>0.36</c:v>
                </c:pt>
                <c:pt idx="12">
                  <c:v>0.6</c:v>
                </c:pt>
                <c:pt idx="13">
                  <c:v>0.91</c:v>
                </c:pt>
                <c:pt idx="14">
                  <c:v>1.3</c:v>
                </c:pt>
                <c:pt idx="15">
                  <c:v>1.7</c:v>
                </c:pt>
              </c:numCache>
            </c:numRef>
          </c:yVal>
          <c:smooth val="0"/>
        </c:ser>
        <c:ser>
          <c:idx val="7"/>
          <c:order val="7"/>
          <c:tx>
            <c:v>-3.5V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Data'!$C$62:$R$62</c:f>
              <c:numCache>
                <c:formatCode>General</c:formatCode>
                <c:ptCount val="16"/>
                <c:pt idx="9">
                  <c:v>0.0</c:v>
                </c:pt>
                <c:pt idx="10">
                  <c:v>0.02</c:v>
                </c:pt>
                <c:pt idx="11">
                  <c:v>0.1</c:v>
                </c:pt>
                <c:pt idx="12">
                  <c:v>0.22</c:v>
                </c:pt>
                <c:pt idx="13">
                  <c:v>0.4</c:v>
                </c:pt>
                <c:pt idx="14">
                  <c:v>0.62</c:v>
                </c:pt>
                <c:pt idx="15">
                  <c:v>0.95</c:v>
                </c:pt>
              </c:numCache>
            </c:numRef>
          </c:yVal>
          <c:smooth val="1"/>
        </c:ser>
        <c:ser>
          <c:idx val="8"/>
          <c:order val="8"/>
          <c:tx>
            <c:v>-4V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Data'!$C$3:$R$3</c:f>
              <c:numCache>
                <c:formatCode>General</c:formatCode>
                <c:ptCount val="16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</c:numCache>
            </c:numRef>
          </c:xVal>
          <c:yVal>
            <c:numRef>
              <c:f>'Graph Data'!$C$63:$R$63</c:f>
              <c:numCache>
                <c:formatCode>General</c:formatCode>
                <c:ptCount val="16"/>
                <c:pt idx="11">
                  <c:v>0.0</c:v>
                </c:pt>
                <c:pt idx="12">
                  <c:v>0.02</c:v>
                </c:pt>
                <c:pt idx="13">
                  <c:v>0.12</c:v>
                </c:pt>
                <c:pt idx="14">
                  <c:v>0.27</c:v>
                </c:pt>
                <c:pt idx="15">
                  <c:v>0.4</c:v>
                </c:pt>
              </c:numCache>
            </c:numRef>
          </c:yVal>
          <c:smooth val="1"/>
        </c:ser>
        <c:ser>
          <c:idx val="9"/>
          <c:order val="9"/>
          <c:tx>
            <c:strRef>
              <c:f>'Valve Spec'!$B$1</c:f>
              <c:strCache>
                <c:ptCount val="1"/>
                <c:pt idx="0">
                  <c:v>Pmax (W)</c:v>
                </c:pt>
              </c:strCache>
            </c:strRef>
          </c:tx>
          <c:spPr>
            <a:ln w="38100">
              <a:solidFill>
                <a:srgbClr val="DD0806"/>
              </a:solidFill>
              <a:prstDash val="solid"/>
            </a:ln>
          </c:spPr>
          <c:marker>
            <c:symbol val="none"/>
          </c:marker>
          <c:xVal>
            <c:numRef>
              <c:f>'Graph Data'!$F$3:$R$3</c:f>
              <c:numCache>
                <c:formatCode>General</c:formatCode>
                <c:ptCount val="13"/>
                <c:pt idx="0">
                  <c:v>75.0</c:v>
                </c:pt>
                <c:pt idx="1">
                  <c:v>100.0</c:v>
                </c:pt>
                <c:pt idx="2">
                  <c:v>125.0</c:v>
                </c:pt>
                <c:pt idx="3">
                  <c:v>150.0</c:v>
                </c:pt>
                <c:pt idx="4">
                  <c:v>175.0</c:v>
                </c:pt>
                <c:pt idx="5">
                  <c:v>200.0</c:v>
                </c:pt>
                <c:pt idx="6">
                  <c:v>226.1</c:v>
                </c:pt>
                <c:pt idx="7">
                  <c:v>250.0</c:v>
                </c:pt>
                <c:pt idx="8">
                  <c:v>275.0</c:v>
                </c:pt>
                <c:pt idx="9">
                  <c:v>300.0</c:v>
                </c:pt>
                <c:pt idx="10">
                  <c:v>325.0</c:v>
                </c:pt>
                <c:pt idx="11">
                  <c:v>350.0</c:v>
                </c:pt>
                <c:pt idx="12">
                  <c:v>375.0</c:v>
                </c:pt>
              </c:numCache>
            </c:numRef>
          </c:xVal>
          <c:yVal>
            <c:numRef>
              <c:f>'Graph Data'!$F$65:$R$65</c:f>
              <c:numCache>
                <c:formatCode>General</c:formatCode>
                <c:ptCount val="13"/>
                <c:pt idx="0">
                  <c:v>13.33333333333333</c:v>
                </c:pt>
                <c:pt idx="1">
                  <c:v>10.0</c:v>
                </c:pt>
                <c:pt idx="2">
                  <c:v>8.0</c:v>
                </c:pt>
                <c:pt idx="3">
                  <c:v>6.666666666666667</c:v>
                </c:pt>
                <c:pt idx="4">
                  <c:v>5.714285714285714</c:v>
                </c:pt>
                <c:pt idx="5">
                  <c:v>5.0</c:v>
                </c:pt>
                <c:pt idx="6">
                  <c:v>4.422821760283061</c:v>
                </c:pt>
                <c:pt idx="7">
                  <c:v>4.0</c:v>
                </c:pt>
                <c:pt idx="8">
                  <c:v>3.636363636363636</c:v>
                </c:pt>
                <c:pt idx="9">
                  <c:v>3.333333333333333</c:v>
                </c:pt>
                <c:pt idx="10">
                  <c:v>3.076923076923077</c:v>
                </c:pt>
                <c:pt idx="11">
                  <c:v>2.857142857142857</c:v>
                </c:pt>
                <c:pt idx="12">
                  <c:v>2.666666666666666</c:v>
                </c:pt>
              </c:numCache>
            </c:numRef>
          </c:yVal>
          <c:smooth val="1"/>
        </c:ser>
        <c:ser>
          <c:idx val="10"/>
          <c:order val="10"/>
          <c:tx>
            <c:strRef>
              <c:f>Parameters!$B$2:$B$3</c:f>
              <c:strCache>
                <c:ptCount val="1"/>
                <c:pt idx="0">
                  <c:v>Ra (Ohms) 100000</c:v>
                </c:pt>
              </c:strCache>
            </c:strRef>
          </c:tx>
          <c:spPr>
            <a:ln w="12700">
              <a:solidFill>
                <a:srgbClr val="CCFFCC"/>
              </a:solidFill>
              <a:prstDash val="solid"/>
            </a:ln>
          </c:spPr>
          <c:marker>
            <c:symbol val="none"/>
          </c:marker>
          <c:dPt>
            <c:idx val="1"/>
            <c:bubble3D val="0"/>
            <c:spPr>
              <a:ln w="38100">
                <a:solidFill>
                  <a:srgbClr val="0000D4"/>
                </a:solidFill>
                <a:prstDash val="solid"/>
              </a:ln>
            </c:spPr>
          </c:dPt>
          <c:xVal>
            <c:numRef>
              <c:f>'Graph Data'!$B$132:$C$132</c:f>
              <c:numCache>
                <c:formatCode>General</c:formatCode>
                <c:ptCount val="2"/>
                <c:pt idx="0">
                  <c:v>0.0</c:v>
                </c:pt>
                <c:pt idx="1">
                  <c:v>240.0</c:v>
                </c:pt>
              </c:numCache>
            </c:numRef>
          </c:xVal>
          <c:yVal>
            <c:numRef>
              <c:f>'Graph Data'!$B$133:$C$133</c:f>
              <c:numCache>
                <c:formatCode>General</c:formatCode>
                <c:ptCount val="2"/>
                <c:pt idx="0" formatCode="0.00">
                  <c:v>2.364532019704433</c:v>
                </c:pt>
                <c:pt idx="1">
                  <c:v>0.0</c:v>
                </c:pt>
              </c:numCache>
            </c:numRef>
          </c:yVal>
          <c:smooth val="1"/>
        </c:ser>
        <c:ser>
          <c:idx val="11"/>
          <c:order val="11"/>
          <c:tx>
            <c:strRef>
              <c:f>Parameters!$C$2:$C$3</c:f>
              <c:strCache>
                <c:ptCount val="1"/>
                <c:pt idx="0">
                  <c:v>Rk (Ohms) 1500</c:v>
                </c:pt>
              </c:strCache>
            </c:strRef>
          </c:tx>
          <c:spPr>
            <a:ln w="38100">
              <a:solidFill>
                <a:srgbClr val="1FB714"/>
              </a:solidFill>
              <a:prstDash val="solid"/>
            </a:ln>
          </c:spPr>
          <c:marker>
            <c:symbol val="none"/>
          </c:marker>
          <c:xVal>
            <c:numRef>
              <c:f>'Graph Data'!$AE$55:$AE$63</c:f>
              <c:numCache>
                <c:formatCode>General</c:formatCode>
                <c:ptCount val="9"/>
                <c:pt idx="0">
                  <c:v>0.0</c:v>
                </c:pt>
                <c:pt idx="1">
                  <c:v>36.87400694793574</c:v>
                </c:pt>
                <c:pt idx="2">
                  <c:v>114.7238865427064</c:v>
                </c:pt>
                <c:pt idx="3">
                  <c:v>189.8675730768295</c:v>
                </c:pt>
                <c:pt idx="4">
                  <c:v>258.7351409098044</c:v>
                </c:pt>
                <c:pt idx="5">
                  <c:v>325.0685422951089</c:v>
                </c:pt>
                <c:pt idx="6">
                  <c:v>390.2757114128495</c:v>
                </c:pt>
                <c:pt idx="7">
                  <c:v>458.2904166756878</c:v>
                </c:pt>
                <c:pt idx="8">
                  <c:v>551.9890372239004</c:v>
                </c:pt>
              </c:numCache>
            </c:numRef>
          </c:xVal>
          <c:yVal>
            <c:numRef>
              <c:f>'Graph Data'!$AD$55:$AD$63</c:f>
              <c:numCache>
                <c:formatCode>General</c:formatCode>
                <c:ptCount val="9"/>
                <c:pt idx="0">
                  <c:v>0.0</c:v>
                </c:pt>
                <c:pt idx="1">
                  <c:v>0.333333333333333</c:v>
                </c:pt>
                <c:pt idx="2">
                  <c:v>0.666666666666667</c:v>
                </c:pt>
                <c:pt idx="3">
                  <c:v>1.0</c:v>
                </c:pt>
                <c:pt idx="4">
                  <c:v>1.333333333333333</c:v>
                </c:pt>
                <c:pt idx="5">
                  <c:v>1.666666666666667</c:v>
                </c:pt>
                <c:pt idx="6">
                  <c:v>2.0</c:v>
                </c:pt>
                <c:pt idx="7">
                  <c:v>2.333333333333333</c:v>
                </c:pt>
                <c:pt idx="8">
                  <c:v>2.666666666666666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2279064"/>
        <c:axId val="2102285832"/>
      </c:scatterChart>
      <c:valAx>
        <c:axId val="2102279064"/>
        <c:scaling>
          <c:orientation val="minMax"/>
          <c:max val="350.0"/>
        </c:scaling>
        <c:delete val="0"/>
        <c:axPos val="b"/>
        <c:majorGridlines>
          <c:spPr>
            <a:ln w="38100">
              <a:solidFill>
                <a:srgbClr val="808080"/>
              </a:solidFill>
              <a:prstDash val="solid"/>
            </a:ln>
          </c:spPr>
        </c:majorGridlines>
        <c:minorGridlines>
          <c:spPr>
            <a:ln w="12700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4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Va (V)</a:t>
                </a:r>
              </a:p>
            </c:rich>
          </c:tx>
          <c:layout>
            <c:manualLayout>
              <c:xMode val="edge"/>
              <c:yMode val="edge"/>
              <c:x val="0.478620689655172"/>
              <c:y val="0.92081447963800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02285832"/>
        <c:crosses val="autoZero"/>
        <c:crossBetween val="midCat"/>
      </c:valAx>
      <c:valAx>
        <c:axId val="2102285832"/>
        <c:scaling>
          <c:orientation val="minMax"/>
          <c:max val="5.0"/>
        </c:scaling>
        <c:delete val="0"/>
        <c:axPos val="l"/>
        <c:majorGridlines>
          <c:spPr>
            <a:ln w="25400">
              <a:solidFill>
                <a:srgbClr val="808080"/>
              </a:solidFill>
              <a:prstDash val="solid"/>
            </a:ln>
          </c:spPr>
        </c:majorGridlines>
        <c:minorGridlines>
          <c:spPr>
            <a:ln w="12700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4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Ia (mA)</a:t>
                </a:r>
              </a:p>
            </c:rich>
          </c:tx>
          <c:layout>
            <c:manualLayout>
              <c:xMode val="edge"/>
              <c:yMode val="edge"/>
              <c:x val="0.063448275862069"/>
              <c:y val="0.42307692307692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02279064"/>
        <c:crosses val="autoZero"/>
        <c:crossBetween val="midCat"/>
        <c:majorUnit val="1.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254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E88CC</a:t>
            </a:r>
          </a:p>
        </c:rich>
      </c:tx>
      <c:layout>
        <c:manualLayout>
          <c:xMode val="edge"/>
          <c:yMode val="edge"/>
          <c:x val="0.463448275862069"/>
          <c:y val="0.065610859728506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724137931034"/>
          <c:y val="0.110859728506787"/>
          <c:w val="0.766896551724138"/>
          <c:h val="0.746606334841629"/>
        </c:manualLayout>
      </c:layout>
      <c:scatterChart>
        <c:scatterStyle val="smoothMarker"/>
        <c:varyColors val="0"/>
        <c:ser>
          <c:idx val="0"/>
          <c:order val="0"/>
          <c:tx>
            <c:v>Vgk = 0V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Data'!$C$3:$O$3</c:f>
              <c:numCache>
                <c:formatCode>General</c:formatCode>
                <c:ptCount val="13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</c:numCache>
            </c:numRef>
          </c:xVal>
          <c:yVal>
            <c:numRef>
              <c:f>'Graph Data'!$C$79:$O$79</c:f>
              <c:numCache>
                <c:formatCode>0.0</c:formatCode>
                <c:ptCount val="13"/>
                <c:pt idx="0">
                  <c:v>0.0</c:v>
                </c:pt>
                <c:pt idx="1">
                  <c:v>7.0</c:v>
                </c:pt>
                <c:pt idx="2">
                  <c:v>15.0</c:v>
                </c:pt>
              </c:numCache>
            </c:numRef>
          </c:yVal>
          <c:smooth val="1"/>
        </c:ser>
        <c:ser>
          <c:idx val="1"/>
          <c:order val="1"/>
          <c:tx>
            <c:v>-1V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Data'!$C$3:$O$3</c:f>
              <c:numCache>
                <c:formatCode>General</c:formatCode>
                <c:ptCount val="13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</c:numCache>
            </c:numRef>
          </c:xVal>
          <c:yVal>
            <c:numRef>
              <c:f>'Graph Data'!$C$80:$O$80</c:f>
              <c:numCache>
                <c:formatCode>0.0</c:formatCode>
                <c:ptCount val="13"/>
                <c:pt idx="0">
                  <c:v>0.0</c:v>
                </c:pt>
                <c:pt idx="1">
                  <c:v>0.7</c:v>
                </c:pt>
                <c:pt idx="2">
                  <c:v>5.5</c:v>
                </c:pt>
                <c:pt idx="3">
                  <c:v>13.0</c:v>
                </c:pt>
              </c:numCache>
            </c:numRef>
          </c:yVal>
          <c:smooth val="1"/>
        </c:ser>
        <c:ser>
          <c:idx val="2"/>
          <c:order val="2"/>
          <c:tx>
            <c:v>-2V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Data'!$C$3:$O$3</c:f>
              <c:numCache>
                <c:formatCode>General</c:formatCode>
                <c:ptCount val="13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</c:numCache>
            </c:numRef>
          </c:xVal>
          <c:yVal>
            <c:numRef>
              <c:f>'Graph Data'!$C$81:$O$81</c:f>
              <c:numCache>
                <c:formatCode>0.0</c:formatCode>
                <c:ptCount val="13"/>
                <c:pt idx="1">
                  <c:v>0.0</c:v>
                </c:pt>
                <c:pt idx="2">
                  <c:v>0.3</c:v>
                </c:pt>
                <c:pt idx="3">
                  <c:v>4.0</c:v>
                </c:pt>
                <c:pt idx="4">
                  <c:v>10.09</c:v>
                </c:pt>
                <c:pt idx="5">
                  <c:v>19.0</c:v>
                </c:pt>
              </c:numCache>
            </c:numRef>
          </c:yVal>
          <c:smooth val="1"/>
        </c:ser>
        <c:ser>
          <c:idx val="3"/>
          <c:order val="3"/>
          <c:tx>
            <c:v>-3V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Data'!$C$3:$O$3</c:f>
              <c:numCache>
                <c:formatCode>General</c:formatCode>
                <c:ptCount val="13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</c:numCache>
            </c:numRef>
          </c:xVal>
          <c:yVal>
            <c:numRef>
              <c:f>'Graph Data'!$C$82:$O$82</c:f>
              <c:numCache>
                <c:formatCode>0.0</c:formatCode>
                <c:ptCount val="13"/>
                <c:pt idx="2">
                  <c:v>0.0</c:v>
                </c:pt>
                <c:pt idx="3">
                  <c:v>0.26</c:v>
                </c:pt>
                <c:pt idx="4">
                  <c:v>2.88</c:v>
                </c:pt>
                <c:pt idx="5">
                  <c:v>8.130000000000001</c:v>
                </c:pt>
                <c:pt idx="6">
                  <c:v>16.0</c:v>
                </c:pt>
              </c:numCache>
            </c:numRef>
          </c:yVal>
          <c:smooth val="1"/>
        </c:ser>
        <c:ser>
          <c:idx val="4"/>
          <c:order val="4"/>
          <c:tx>
            <c:v>-4V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Data'!$C$3:$O$3</c:f>
              <c:numCache>
                <c:formatCode>General</c:formatCode>
                <c:ptCount val="13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</c:numCache>
            </c:numRef>
          </c:xVal>
          <c:yVal>
            <c:numRef>
              <c:f>'Graph Data'!$C$83:$O$83</c:f>
              <c:numCache>
                <c:formatCode>0.0</c:formatCode>
                <c:ptCount val="13"/>
                <c:pt idx="4">
                  <c:v>0.0</c:v>
                </c:pt>
                <c:pt idx="5">
                  <c:v>1.4</c:v>
                </c:pt>
                <c:pt idx="6">
                  <c:v>6.0</c:v>
                </c:pt>
                <c:pt idx="7">
                  <c:v>13.5</c:v>
                </c:pt>
              </c:numCache>
            </c:numRef>
          </c:yVal>
          <c:smooth val="1"/>
        </c:ser>
        <c:ser>
          <c:idx val="5"/>
          <c:order val="5"/>
          <c:tx>
            <c:v>-5V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Data'!$C$3:$O$3</c:f>
              <c:numCache>
                <c:formatCode>General</c:formatCode>
                <c:ptCount val="13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</c:numCache>
            </c:numRef>
          </c:xVal>
          <c:yVal>
            <c:numRef>
              <c:f>'Graph Data'!$C$84:$O$84</c:f>
              <c:numCache>
                <c:formatCode>0.0</c:formatCode>
                <c:ptCount val="13"/>
                <c:pt idx="5">
                  <c:v>0.0</c:v>
                </c:pt>
                <c:pt idx="6">
                  <c:v>1.0</c:v>
                </c:pt>
                <c:pt idx="7">
                  <c:v>5.0</c:v>
                </c:pt>
                <c:pt idx="8">
                  <c:v>12.0</c:v>
                </c:pt>
                <c:pt idx="9">
                  <c:v>21.0</c:v>
                </c:pt>
              </c:numCache>
            </c:numRef>
          </c:yVal>
          <c:smooth val="1"/>
        </c:ser>
        <c:ser>
          <c:idx val="6"/>
          <c:order val="6"/>
          <c:tx>
            <c:v>-6V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Data'!$C$3:$O$3</c:f>
              <c:numCache>
                <c:formatCode>General</c:formatCode>
                <c:ptCount val="13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</c:numCache>
            </c:numRef>
          </c:xVal>
          <c:yVal>
            <c:numRef>
              <c:f>'Graph Data'!$C$85:$O$85</c:f>
              <c:numCache>
                <c:formatCode>0.0</c:formatCode>
                <c:ptCount val="13"/>
                <c:pt idx="6">
                  <c:v>0.0</c:v>
                </c:pt>
                <c:pt idx="7">
                  <c:v>0.8</c:v>
                </c:pt>
                <c:pt idx="8">
                  <c:v>4.78</c:v>
                </c:pt>
                <c:pt idx="9">
                  <c:v>11.65</c:v>
                </c:pt>
                <c:pt idx="10">
                  <c:v>19.74</c:v>
                </c:pt>
              </c:numCache>
            </c:numRef>
          </c:yVal>
          <c:smooth val="1"/>
        </c:ser>
        <c:ser>
          <c:idx val="7"/>
          <c:order val="7"/>
          <c:tx>
            <c:v>-7V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Data'!$C$3:$O$3</c:f>
              <c:numCache>
                <c:formatCode>General</c:formatCode>
                <c:ptCount val="13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</c:numCache>
            </c:numRef>
          </c:xVal>
          <c:yVal>
            <c:numRef>
              <c:f>'Graph Data'!$C$86:$O$86</c:f>
              <c:numCache>
                <c:formatCode>0.0</c:formatCode>
                <c:ptCount val="13"/>
                <c:pt idx="7">
                  <c:v>0.0</c:v>
                </c:pt>
                <c:pt idx="8">
                  <c:v>1.0</c:v>
                </c:pt>
                <c:pt idx="9">
                  <c:v>5.0</c:v>
                </c:pt>
                <c:pt idx="10">
                  <c:v>11.0</c:v>
                </c:pt>
                <c:pt idx="11">
                  <c:v>18.9</c:v>
                </c:pt>
              </c:numCache>
            </c:numRef>
          </c:yVal>
          <c:smooth val="1"/>
        </c:ser>
        <c:ser>
          <c:idx val="8"/>
          <c:order val="8"/>
          <c:tx>
            <c:v>-8V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Data'!$C$3:$O$3</c:f>
              <c:numCache>
                <c:formatCode>General</c:formatCode>
                <c:ptCount val="13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</c:numCache>
            </c:numRef>
          </c:xVal>
          <c:yVal>
            <c:numRef>
              <c:f>'Graph Data'!$C$87:$O$87</c:f>
              <c:numCache>
                <c:formatCode>0.0</c:formatCode>
                <c:ptCount val="13"/>
                <c:pt idx="8">
                  <c:v>0.0</c:v>
                </c:pt>
                <c:pt idx="9">
                  <c:v>1.0</c:v>
                </c:pt>
                <c:pt idx="10">
                  <c:v>4.66</c:v>
                </c:pt>
                <c:pt idx="11">
                  <c:v>10.35</c:v>
                </c:pt>
                <c:pt idx="12">
                  <c:v>17.3</c:v>
                </c:pt>
              </c:numCache>
            </c:numRef>
          </c:yVal>
          <c:smooth val="1"/>
        </c:ser>
        <c:ser>
          <c:idx val="9"/>
          <c:order val="9"/>
          <c:tx>
            <c:v>-9V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Data'!$C$3:$O$3</c:f>
              <c:numCache>
                <c:formatCode>General</c:formatCode>
                <c:ptCount val="13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</c:numCache>
            </c:numRef>
          </c:xVal>
          <c:yVal>
            <c:numRef>
              <c:f>'Graph Data'!$C$88:$O$88</c:f>
              <c:numCache>
                <c:formatCode>0.0</c:formatCode>
                <c:ptCount val="13"/>
                <c:pt idx="9">
                  <c:v>0.0</c:v>
                </c:pt>
                <c:pt idx="10">
                  <c:v>0.8</c:v>
                </c:pt>
                <c:pt idx="11">
                  <c:v>4.04</c:v>
                </c:pt>
                <c:pt idx="12">
                  <c:v>9.220000000000001</c:v>
                </c:pt>
              </c:numCache>
            </c:numRef>
          </c:yVal>
          <c:smooth val="1"/>
        </c:ser>
        <c:ser>
          <c:idx val="10"/>
          <c:order val="10"/>
          <c:tx>
            <c:v>-10V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Data'!$C$3:$O$3</c:f>
              <c:numCache>
                <c:formatCode>General</c:formatCode>
                <c:ptCount val="13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</c:numCache>
            </c:numRef>
          </c:xVal>
          <c:yVal>
            <c:numRef>
              <c:f>'Graph Data'!$C$89:$O$89</c:f>
              <c:numCache>
                <c:formatCode>0.0</c:formatCode>
                <c:ptCount val="13"/>
                <c:pt idx="10">
                  <c:v>0.0</c:v>
                </c:pt>
                <c:pt idx="11">
                  <c:v>0.8</c:v>
                </c:pt>
                <c:pt idx="12">
                  <c:v>4.22</c:v>
                </c:pt>
              </c:numCache>
            </c:numRef>
          </c:yVal>
          <c:smooth val="1"/>
        </c:ser>
        <c:ser>
          <c:idx val="11"/>
          <c:order val="11"/>
          <c:tx>
            <c:strRef>
              <c:f>'Valve Spec'!$B$1</c:f>
              <c:strCache>
                <c:ptCount val="1"/>
                <c:pt idx="0">
                  <c:v>Pmax (W)</c:v>
                </c:pt>
              </c:strCache>
            </c:strRef>
          </c:tx>
          <c:spPr>
            <a:ln w="38100">
              <a:solidFill>
                <a:srgbClr val="DD0806"/>
              </a:solidFill>
              <a:prstDash val="solid"/>
            </a:ln>
          </c:spPr>
          <c:marker>
            <c:symbol val="none"/>
          </c:marker>
          <c:xVal>
            <c:numRef>
              <c:f>'Graph Data'!$D$3:$O$3</c:f>
              <c:numCache>
                <c:formatCode>General</c:formatCode>
                <c:ptCount val="12"/>
                <c:pt idx="0">
                  <c:v>25.0</c:v>
                </c:pt>
                <c:pt idx="1">
                  <c:v>50.0</c:v>
                </c:pt>
                <c:pt idx="2">
                  <c:v>75.0</c:v>
                </c:pt>
                <c:pt idx="3">
                  <c:v>100.0</c:v>
                </c:pt>
                <c:pt idx="4">
                  <c:v>125.0</c:v>
                </c:pt>
                <c:pt idx="5">
                  <c:v>150.0</c:v>
                </c:pt>
                <c:pt idx="6">
                  <c:v>175.0</c:v>
                </c:pt>
                <c:pt idx="7">
                  <c:v>200.0</c:v>
                </c:pt>
                <c:pt idx="8">
                  <c:v>226.1</c:v>
                </c:pt>
                <c:pt idx="9">
                  <c:v>250.0</c:v>
                </c:pt>
                <c:pt idx="10">
                  <c:v>275.0</c:v>
                </c:pt>
                <c:pt idx="11">
                  <c:v>300.0</c:v>
                </c:pt>
              </c:numCache>
            </c:numRef>
          </c:xVal>
          <c:yVal>
            <c:numRef>
              <c:f>'Graph Data'!$D$91:$O$91</c:f>
              <c:numCache>
                <c:formatCode>General</c:formatCode>
                <c:ptCount val="12"/>
                <c:pt idx="0">
                  <c:v>60.0</c:v>
                </c:pt>
                <c:pt idx="1">
                  <c:v>30.0</c:v>
                </c:pt>
                <c:pt idx="2">
                  <c:v>20.0</c:v>
                </c:pt>
                <c:pt idx="3">
                  <c:v>15.0</c:v>
                </c:pt>
                <c:pt idx="4">
                  <c:v>12.0</c:v>
                </c:pt>
                <c:pt idx="5">
                  <c:v>10.0</c:v>
                </c:pt>
                <c:pt idx="6">
                  <c:v>8.571428571428571</c:v>
                </c:pt>
                <c:pt idx="7">
                  <c:v>7.5</c:v>
                </c:pt>
                <c:pt idx="8">
                  <c:v>6.634232640424591</c:v>
                </c:pt>
                <c:pt idx="9">
                  <c:v>6.0</c:v>
                </c:pt>
                <c:pt idx="10">
                  <c:v>5.454545454545455</c:v>
                </c:pt>
                <c:pt idx="11">
                  <c:v>5.0</c:v>
                </c:pt>
              </c:numCache>
            </c:numRef>
          </c:yVal>
          <c:smooth val="1"/>
        </c:ser>
        <c:ser>
          <c:idx val="12"/>
          <c:order val="12"/>
          <c:tx>
            <c:strRef>
              <c:f>Parameters!$B$2:$B$3</c:f>
              <c:strCache>
                <c:ptCount val="1"/>
                <c:pt idx="0">
                  <c:v>Ra (Ohms) 100000</c:v>
                </c:pt>
              </c:strCache>
            </c:strRef>
          </c:tx>
          <c:spPr>
            <a:ln w="38100">
              <a:solidFill>
                <a:srgbClr val="0000D4"/>
              </a:solidFill>
              <a:prstDash val="solid"/>
            </a:ln>
          </c:spPr>
          <c:marker>
            <c:symbol val="none"/>
          </c:marker>
          <c:xVal>
            <c:numRef>
              <c:f>'Graph Data'!$B$132:$C$132</c:f>
              <c:numCache>
                <c:formatCode>General</c:formatCode>
                <c:ptCount val="2"/>
                <c:pt idx="0">
                  <c:v>0.0</c:v>
                </c:pt>
                <c:pt idx="1">
                  <c:v>240.0</c:v>
                </c:pt>
              </c:numCache>
            </c:numRef>
          </c:xVal>
          <c:yVal>
            <c:numRef>
              <c:f>'Graph Data'!$B$133:$C$133</c:f>
              <c:numCache>
                <c:formatCode>General</c:formatCode>
                <c:ptCount val="2"/>
                <c:pt idx="0" formatCode="0.00">
                  <c:v>2.364532019704433</c:v>
                </c:pt>
                <c:pt idx="1">
                  <c:v>0.0</c:v>
                </c:pt>
              </c:numCache>
            </c:numRef>
          </c:yVal>
          <c:smooth val="1"/>
        </c:ser>
        <c:ser>
          <c:idx val="13"/>
          <c:order val="13"/>
          <c:tx>
            <c:strRef>
              <c:f>Parameters!$C$2:$C$3</c:f>
              <c:strCache>
                <c:ptCount val="1"/>
                <c:pt idx="0">
                  <c:v>Rk (Ohms) 1500</c:v>
                </c:pt>
              </c:strCache>
            </c:strRef>
          </c:tx>
          <c:spPr>
            <a:ln w="38100">
              <a:solidFill>
                <a:srgbClr val="1FB714"/>
              </a:solidFill>
              <a:prstDash val="solid"/>
            </a:ln>
          </c:spPr>
          <c:marker>
            <c:symbol val="none"/>
          </c:marker>
          <c:xVal>
            <c:numRef>
              <c:f>'Graph Data'!$AE$79:$AE$89</c:f>
              <c:numCache>
                <c:formatCode>General</c:formatCode>
                <c:ptCount val="11"/>
                <c:pt idx="0">
                  <c:v>0.0</c:v>
                </c:pt>
                <c:pt idx="1">
                  <c:v>22.58171479050919</c:v>
                </c:pt>
                <c:pt idx="2">
                  <c:v>58.50640490893246</c:v>
                </c:pt>
                <c:pt idx="3">
                  <c:v>93.84735159159525</c:v>
                </c:pt>
                <c:pt idx="4">
                  <c:v>133.6888960917268</c:v>
                </c:pt>
                <c:pt idx="5">
                  <c:v>165.4815183539146</c:v>
                </c:pt>
                <c:pt idx="6">
                  <c:v>195.930743209005</c:v>
                </c:pt>
                <c:pt idx="7">
                  <c:v>224.1936856600751</c:v>
                </c:pt>
                <c:pt idx="8">
                  <c:v>253.8511206759616</c:v>
                </c:pt>
                <c:pt idx="9">
                  <c:v>285.9120076740159</c:v>
                </c:pt>
                <c:pt idx="10">
                  <c:v>311.4733335700744</c:v>
                </c:pt>
              </c:numCache>
            </c:numRef>
          </c:xVal>
          <c:yVal>
            <c:numRef>
              <c:f>'Graph Data'!$AD$79:$AD$89</c:f>
              <c:numCache>
                <c:formatCode>General</c:formatCode>
                <c:ptCount val="11"/>
                <c:pt idx="0">
                  <c:v>0.0</c:v>
                </c:pt>
                <c:pt idx="1">
                  <c:v>0.666666666666667</c:v>
                </c:pt>
                <c:pt idx="2">
                  <c:v>1.333333333333333</c:v>
                </c:pt>
                <c:pt idx="3">
                  <c:v>2.0</c:v>
                </c:pt>
                <c:pt idx="4">
                  <c:v>2.666666666666666</c:v>
                </c:pt>
                <c:pt idx="5">
                  <c:v>3.333333333333333</c:v>
                </c:pt>
                <c:pt idx="6">
                  <c:v>4.0</c:v>
                </c:pt>
                <c:pt idx="7">
                  <c:v>4.666666666666667</c:v>
                </c:pt>
                <c:pt idx="8">
                  <c:v>5.333333333333332</c:v>
                </c:pt>
                <c:pt idx="9">
                  <c:v>6.0</c:v>
                </c:pt>
                <c:pt idx="10">
                  <c:v>6.666666666666667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1428808"/>
        <c:axId val="2101422408"/>
      </c:scatterChart>
      <c:valAx>
        <c:axId val="2101428808"/>
        <c:scaling>
          <c:orientation val="minMax"/>
          <c:max val="300.0"/>
        </c:scaling>
        <c:delete val="0"/>
        <c:axPos val="b"/>
        <c:majorGridlines>
          <c:spPr>
            <a:ln w="25400">
              <a:solidFill>
                <a:srgbClr val="969696"/>
              </a:solidFill>
              <a:prstDash val="solid"/>
            </a:ln>
          </c:spPr>
        </c:majorGridlines>
        <c:minorGridlines>
          <c:spPr>
            <a:ln w="3175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5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Va (V)</a:t>
                </a:r>
              </a:p>
            </c:rich>
          </c:tx>
          <c:layout>
            <c:manualLayout>
              <c:xMode val="edge"/>
              <c:yMode val="edge"/>
              <c:x val="0.460689655172414"/>
              <c:y val="0.92986425339366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01422408"/>
        <c:crosses val="autoZero"/>
        <c:crossBetween val="midCat"/>
        <c:majorUnit val="50.0"/>
      </c:valAx>
      <c:valAx>
        <c:axId val="2101422408"/>
        <c:scaling>
          <c:orientation val="minMax"/>
          <c:max val="20.0"/>
          <c:min val="0.0"/>
        </c:scaling>
        <c:delete val="0"/>
        <c:axPos val="l"/>
        <c:majorGridlines>
          <c:spPr>
            <a:ln w="25400">
              <a:solidFill>
                <a:srgbClr val="80808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5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Ia (mA)</a:t>
                </a:r>
              </a:p>
            </c:rich>
          </c:tx>
          <c:layout>
            <c:manualLayout>
              <c:xMode val="edge"/>
              <c:yMode val="edge"/>
              <c:x val="0.0344827586206896"/>
              <c:y val="0.41628959276018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01428808"/>
        <c:crosses val="autoZero"/>
        <c:crossBetween val="midCat"/>
        <c:majorUnit val="5.0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12AY7</a:t>
            </a:r>
          </a:p>
        </c:rich>
      </c:tx>
      <c:layout>
        <c:manualLayout>
          <c:xMode val="edge"/>
          <c:yMode val="edge"/>
          <c:x val="0.455172413793103"/>
          <c:y val="0.0067873303167420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648275862068965"/>
          <c:y val="0.0656108597285068"/>
          <c:w val="0.837241379310345"/>
          <c:h val="0.807692307692308"/>
        </c:manualLayout>
      </c:layout>
      <c:scatterChart>
        <c:scatterStyle val="smoothMarker"/>
        <c:varyColors val="0"/>
        <c:ser>
          <c:idx val="0"/>
          <c:order val="0"/>
          <c:tx>
            <c:v>Vgk = 0V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Data'!$C$105:$V$105</c:f>
              <c:numCache>
                <c:formatCode>General</c:formatCode>
                <c:ptCount val="20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4.11</c:v>
                </c:pt>
                <c:pt idx="5">
                  <c:v>5.42</c:v>
                </c:pt>
                <c:pt idx="6">
                  <c:v>6.6</c:v>
                </c:pt>
              </c:numCache>
            </c:numRef>
          </c:yVal>
          <c:smooth val="1"/>
        </c:ser>
        <c:ser>
          <c:idx val="1"/>
          <c:order val="1"/>
          <c:tx>
            <c:v>-1V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Data'!$C$106:$V$106</c:f>
              <c:numCache>
                <c:formatCode>General</c:formatCode>
                <c:ptCount val="20"/>
                <c:pt idx="0">
                  <c:v>0.0</c:v>
                </c:pt>
                <c:pt idx="1">
                  <c:v>0.2</c:v>
                </c:pt>
                <c:pt idx="2">
                  <c:v>0.7</c:v>
                </c:pt>
                <c:pt idx="3">
                  <c:v>1.37</c:v>
                </c:pt>
                <c:pt idx="4">
                  <c:v>2.21</c:v>
                </c:pt>
                <c:pt idx="5">
                  <c:v>3.2</c:v>
                </c:pt>
                <c:pt idx="6">
                  <c:v>4.4</c:v>
                </c:pt>
                <c:pt idx="7">
                  <c:v>5.6</c:v>
                </c:pt>
                <c:pt idx="8">
                  <c:v>6.8</c:v>
                </c:pt>
              </c:numCache>
            </c:numRef>
          </c:yVal>
          <c:smooth val="1"/>
        </c:ser>
        <c:ser>
          <c:idx val="2"/>
          <c:order val="2"/>
          <c:tx>
            <c:v>-2V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Data'!$C$107:$V$107</c:f>
              <c:numCache>
                <c:formatCode>General</c:formatCode>
                <c:ptCount val="20"/>
                <c:pt idx="2">
                  <c:v>0.0</c:v>
                </c:pt>
                <c:pt idx="3">
                  <c:v>0.28</c:v>
                </c:pt>
                <c:pt idx="4">
                  <c:v>0.8</c:v>
                </c:pt>
                <c:pt idx="5">
                  <c:v>1.49</c:v>
                </c:pt>
                <c:pt idx="6">
                  <c:v>2.4</c:v>
                </c:pt>
                <c:pt idx="7">
                  <c:v>3.5</c:v>
                </c:pt>
                <c:pt idx="8">
                  <c:v>4.65</c:v>
                </c:pt>
                <c:pt idx="9">
                  <c:v>5.9</c:v>
                </c:pt>
              </c:numCache>
            </c:numRef>
          </c:yVal>
          <c:smooth val="1"/>
        </c:ser>
        <c:ser>
          <c:idx val="3"/>
          <c:order val="3"/>
          <c:tx>
            <c:v>-3V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Data'!$C$108:$V$108</c:f>
              <c:numCache>
                <c:formatCode>General</c:formatCode>
                <c:ptCount val="20"/>
                <c:pt idx="3">
                  <c:v>0.0</c:v>
                </c:pt>
                <c:pt idx="4">
                  <c:v>0.12</c:v>
                </c:pt>
                <c:pt idx="5">
                  <c:v>0.45</c:v>
                </c:pt>
                <c:pt idx="6">
                  <c:v>0.93</c:v>
                </c:pt>
                <c:pt idx="7">
                  <c:v>1.65</c:v>
                </c:pt>
                <c:pt idx="8">
                  <c:v>2.65</c:v>
                </c:pt>
                <c:pt idx="9">
                  <c:v>3.76</c:v>
                </c:pt>
                <c:pt idx="10">
                  <c:v>4.85</c:v>
                </c:pt>
                <c:pt idx="11">
                  <c:v>6.1</c:v>
                </c:pt>
              </c:numCache>
            </c:numRef>
          </c:yVal>
          <c:smooth val="1"/>
        </c:ser>
        <c:ser>
          <c:idx val="4"/>
          <c:order val="4"/>
          <c:tx>
            <c:v>-4V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Data'!$C$109:$V$109</c:f>
              <c:numCache>
                <c:formatCode>General</c:formatCode>
                <c:ptCount val="20"/>
                <c:pt idx="4">
                  <c:v>0.0</c:v>
                </c:pt>
                <c:pt idx="5">
                  <c:v>0.05</c:v>
                </c:pt>
                <c:pt idx="6">
                  <c:v>0.25</c:v>
                </c:pt>
                <c:pt idx="7">
                  <c:v>0.6</c:v>
                </c:pt>
                <c:pt idx="8">
                  <c:v>1.18</c:v>
                </c:pt>
                <c:pt idx="9">
                  <c:v>1.98</c:v>
                </c:pt>
                <c:pt idx="10">
                  <c:v>2.97</c:v>
                </c:pt>
                <c:pt idx="11">
                  <c:v>4.03</c:v>
                </c:pt>
                <c:pt idx="12">
                  <c:v>5.16</c:v>
                </c:pt>
              </c:numCache>
            </c:numRef>
          </c:yVal>
          <c:smooth val="1"/>
        </c:ser>
        <c:ser>
          <c:idx val="5"/>
          <c:order val="5"/>
          <c:tx>
            <c:v>-5V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Data'!$C$110:$V$110</c:f>
              <c:numCache>
                <c:formatCode>General</c:formatCode>
                <c:ptCount val="20"/>
                <c:pt idx="6">
                  <c:v>0.0</c:v>
                </c:pt>
                <c:pt idx="7">
                  <c:v>0.01</c:v>
                </c:pt>
                <c:pt idx="8">
                  <c:v>0.31</c:v>
                </c:pt>
                <c:pt idx="9">
                  <c:v>0.76</c:v>
                </c:pt>
                <c:pt idx="10">
                  <c:v>1.45</c:v>
                </c:pt>
                <c:pt idx="11">
                  <c:v>2.3</c:v>
                </c:pt>
                <c:pt idx="12">
                  <c:v>3.2</c:v>
                </c:pt>
                <c:pt idx="13">
                  <c:v>4.2</c:v>
                </c:pt>
              </c:numCache>
            </c:numRef>
          </c:yVal>
          <c:smooth val="1"/>
        </c:ser>
        <c:ser>
          <c:idx val="6"/>
          <c:order val="6"/>
          <c:tx>
            <c:v>-6V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Data'!$C$111:$V$111</c:f>
              <c:numCache>
                <c:formatCode>General</c:formatCode>
                <c:ptCount val="20"/>
                <c:pt idx="7">
                  <c:v>0.0</c:v>
                </c:pt>
                <c:pt idx="8">
                  <c:v>0.05</c:v>
                </c:pt>
                <c:pt idx="9">
                  <c:v>0.2</c:v>
                </c:pt>
                <c:pt idx="10">
                  <c:v>0.53</c:v>
                </c:pt>
                <c:pt idx="11">
                  <c:v>1.1</c:v>
                </c:pt>
                <c:pt idx="12">
                  <c:v>1.79</c:v>
                </c:pt>
                <c:pt idx="13">
                  <c:v>2.6</c:v>
                </c:pt>
                <c:pt idx="14">
                  <c:v>3.5</c:v>
                </c:pt>
              </c:numCache>
            </c:numRef>
          </c:yVal>
          <c:smooth val="1"/>
        </c:ser>
        <c:ser>
          <c:idx val="7"/>
          <c:order val="7"/>
          <c:tx>
            <c:v>-7V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Data'!$C$112:$V$112</c:f>
              <c:numCache>
                <c:formatCode>General</c:formatCode>
                <c:ptCount val="20"/>
                <c:pt idx="8">
                  <c:v>0.0</c:v>
                </c:pt>
                <c:pt idx="9">
                  <c:v>0.02</c:v>
                </c:pt>
                <c:pt idx="10">
                  <c:v>0.1</c:v>
                </c:pt>
                <c:pt idx="11">
                  <c:v>0.39</c:v>
                </c:pt>
                <c:pt idx="12">
                  <c:v>0.8</c:v>
                </c:pt>
                <c:pt idx="13">
                  <c:v>1.37</c:v>
                </c:pt>
                <c:pt idx="14">
                  <c:v>2.1</c:v>
                </c:pt>
                <c:pt idx="15">
                  <c:v>3.0</c:v>
                </c:pt>
              </c:numCache>
            </c:numRef>
          </c:yVal>
          <c:smooth val="1"/>
        </c:ser>
        <c:ser>
          <c:idx val="8"/>
          <c:order val="8"/>
          <c:tx>
            <c:v>-8V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Data'!$C$113:$V$113</c:f>
              <c:numCache>
                <c:formatCode>General</c:formatCode>
                <c:ptCount val="20"/>
                <c:pt idx="10">
                  <c:v>0.0</c:v>
                </c:pt>
                <c:pt idx="11">
                  <c:v>0.1</c:v>
                </c:pt>
                <c:pt idx="12">
                  <c:v>0.27</c:v>
                </c:pt>
                <c:pt idx="13">
                  <c:v>0.6</c:v>
                </c:pt>
                <c:pt idx="14">
                  <c:v>1.05</c:v>
                </c:pt>
                <c:pt idx="15">
                  <c:v>1.7</c:v>
                </c:pt>
                <c:pt idx="16">
                  <c:v>2.4</c:v>
                </c:pt>
              </c:numCache>
            </c:numRef>
          </c:yVal>
          <c:smooth val="1"/>
        </c:ser>
        <c:ser>
          <c:idx val="9"/>
          <c:order val="9"/>
          <c:tx>
            <c:v>-9V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Data'!$C$114:$V$114</c:f>
              <c:numCache>
                <c:formatCode>General</c:formatCode>
                <c:ptCount val="20"/>
                <c:pt idx="11">
                  <c:v>0.0</c:v>
                </c:pt>
                <c:pt idx="12">
                  <c:v>0.05</c:v>
                </c:pt>
                <c:pt idx="13">
                  <c:v>0.19</c:v>
                </c:pt>
                <c:pt idx="14">
                  <c:v>0.4</c:v>
                </c:pt>
                <c:pt idx="15">
                  <c:v>0.73</c:v>
                </c:pt>
                <c:pt idx="16">
                  <c:v>1.2</c:v>
                </c:pt>
                <c:pt idx="17">
                  <c:v>1.8</c:v>
                </c:pt>
              </c:numCache>
            </c:numRef>
          </c:yVal>
          <c:smooth val="1"/>
        </c:ser>
        <c:ser>
          <c:idx val="10"/>
          <c:order val="10"/>
          <c:tx>
            <c:v>-10V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Data'!$C$115:$V$115</c:f>
              <c:numCache>
                <c:formatCode>General</c:formatCode>
                <c:ptCount val="20"/>
                <c:pt idx="13">
                  <c:v>0.0</c:v>
                </c:pt>
                <c:pt idx="14">
                  <c:v>0.06</c:v>
                </c:pt>
                <c:pt idx="15">
                  <c:v>0.21</c:v>
                </c:pt>
                <c:pt idx="16">
                  <c:v>0.47</c:v>
                </c:pt>
                <c:pt idx="17">
                  <c:v>0.8</c:v>
                </c:pt>
                <c:pt idx="18">
                  <c:v>1.2</c:v>
                </c:pt>
              </c:numCache>
            </c:numRef>
          </c:yVal>
          <c:smooth val="1"/>
        </c:ser>
        <c:ser>
          <c:idx val="11"/>
          <c:order val="11"/>
          <c:tx>
            <c:v>-11V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Data'!$C$116:$V$116</c:f>
              <c:numCache>
                <c:formatCode>General</c:formatCode>
                <c:ptCount val="20"/>
                <c:pt idx="14">
                  <c:v>0.0</c:v>
                </c:pt>
                <c:pt idx="15">
                  <c:v>0.005</c:v>
                </c:pt>
                <c:pt idx="16">
                  <c:v>0.13</c:v>
                </c:pt>
                <c:pt idx="17">
                  <c:v>0.35</c:v>
                </c:pt>
                <c:pt idx="18">
                  <c:v>0.63</c:v>
                </c:pt>
              </c:numCache>
            </c:numRef>
          </c:yVal>
          <c:smooth val="1"/>
        </c:ser>
        <c:ser>
          <c:idx val="12"/>
          <c:order val="12"/>
          <c:tx>
            <c:v>-12V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'Graph Data'!$C$3:$V$3</c:f>
              <c:numCache>
                <c:formatCode>General</c:formatCode>
                <c:ptCount val="20"/>
                <c:pt idx="0">
                  <c:v>0.0</c:v>
                </c:pt>
                <c:pt idx="1">
                  <c:v>25.0</c:v>
                </c:pt>
                <c:pt idx="2">
                  <c:v>50.0</c:v>
                </c:pt>
                <c:pt idx="3">
                  <c:v>75.0</c:v>
                </c:pt>
                <c:pt idx="4">
                  <c:v>100.0</c:v>
                </c:pt>
                <c:pt idx="5">
                  <c:v>125.0</c:v>
                </c:pt>
                <c:pt idx="6">
                  <c:v>150.0</c:v>
                </c:pt>
                <c:pt idx="7">
                  <c:v>175.0</c:v>
                </c:pt>
                <c:pt idx="8">
                  <c:v>200.0</c:v>
                </c:pt>
                <c:pt idx="9">
                  <c:v>226.1</c:v>
                </c:pt>
                <c:pt idx="10">
                  <c:v>250.0</c:v>
                </c:pt>
                <c:pt idx="11">
                  <c:v>275.0</c:v>
                </c:pt>
                <c:pt idx="12">
                  <c:v>300.0</c:v>
                </c:pt>
                <c:pt idx="13">
                  <c:v>325.0</c:v>
                </c:pt>
                <c:pt idx="14">
                  <c:v>350.0</c:v>
                </c:pt>
                <c:pt idx="15">
                  <c:v>375.0</c:v>
                </c:pt>
                <c:pt idx="16">
                  <c:v>400.0</c:v>
                </c:pt>
                <c:pt idx="17">
                  <c:v>425.0</c:v>
                </c:pt>
                <c:pt idx="18">
                  <c:v>450.0</c:v>
                </c:pt>
                <c:pt idx="19">
                  <c:v>475.0</c:v>
                </c:pt>
              </c:numCache>
            </c:numRef>
          </c:xVal>
          <c:yVal>
            <c:numRef>
              <c:f>'Graph Data'!$C$117:$V$117</c:f>
              <c:numCache>
                <c:formatCode>General</c:formatCode>
                <c:ptCount val="20"/>
                <c:pt idx="15">
                  <c:v>0.0</c:v>
                </c:pt>
                <c:pt idx="16">
                  <c:v>0.001</c:v>
                </c:pt>
                <c:pt idx="17">
                  <c:v>0.06</c:v>
                </c:pt>
                <c:pt idx="18">
                  <c:v>0.2</c:v>
                </c:pt>
                <c:pt idx="19">
                  <c:v>0.4</c:v>
                </c:pt>
              </c:numCache>
            </c:numRef>
          </c:yVal>
          <c:smooth val="1"/>
        </c:ser>
        <c:ser>
          <c:idx val="13"/>
          <c:order val="13"/>
          <c:tx>
            <c:strRef>
              <c:f>Parameters!$B$2:$B$3</c:f>
              <c:strCache>
                <c:ptCount val="1"/>
                <c:pt idx="0">
                  <c:v>Ra (Ohms) 100000</c:v>
                </c:pt>
              </c:strCache>
            </c:strRef>
          </c:tx>
          <c:spPr>
            <a:ln w="38100">
              <a:solidFill>
                <a:srgbClr val="0000D4"/>
              </a:solidFill>
              <a:prstDash val="solid"/>
            </a:ln>
          </c:spPr>
          <c:marker>
            <c:symbol val="none"/>
          </c:marker>
          <c:xVal>
            <c:numRef>
              <c:f>'Graph Data'!$B$132:$C$132</c:f>
              <c:numCache>
                <c:formatCode>General</c:formatCode>
                <c:ptCount val="2"/>
                <c:pt idx="0">
                  <c:v>0.0</c:v>
                </c:pt>
                <c:pt idx="1">
                  <c:v>240.0</c:v>
                </c:pt>
              </c:numCache>
            </c:numRef>
          </c:xVal>
          <c:yVal>
            <c:numRef>
              <c:f>'Graph Data'!$B$133:$C$133</c:f>
              <c:numCache>
                <c:formatCode>General</c:formatCode>
                <c:ptCount val="2"/>
                <c:pt idx="0" formatCode="0.00">
                  <c:v>2.364532019704433</c:v>
                </c:pt>
                <c:pt idx="1">
                  <c:v>0.0</c:v>
                </c:pt>
              </c:numCache>
            </c:numRef>
          </c:yVal>
          <c:smooth val="1"/>
        </c:ser>
        <c:ser>
          <c:idx val="14"/>
          <c:order val="14"/>
          <c:tx>
            <c:strRef>
              <c:f>'Valve Spec'!$B$1</c:f>
              <c:strCache>
                <c:ptCount val="1"/>
                <c:pt idx="0">
                  <c:v>Pmax (W)</c:v>
                </c:pt>
              </c:strCache>
            </c:strRef>
          </c:tx>
          <c:spPr>
            <a:ln w="38100">
              <a:solidFill>
                <a:srgbClr val="DD0806"/>
              </a:solidFill>
              <a:prstDash val="solid"/>
            </a:ln>
          </c:spPr>
          <c:marker>
            <c:symbol val="none"/>
          </c:marker>
          <c:xVal>
            <c:numRef>
              <c:f>'Graph Data'!$K$3:$V$3</c:f>
              <c:numCache>
                <c:formatCode>General</c:formatCode>
                <c:ptCount val="12"/>
                <c:pt idx="0">
                  <c:v>200.0</c:v>
                </c:pt>
                <c:pt idx="1">
                  <c:v>226.1</c:v>
                </c:pt>
                <c:pt idx="2">
                  <c:v>250.0</c:v>
                </c:pt>
                <c:pt idx="3">
                  <c:v>275.0</c:v>
                </c:pt>
                <c:pt idx="4">
                  <c:v>300.0</c:v>
                </c:pt>
                <c:pt idx="5">
                  <c:v>325.0</c:v>
                </c:pt>
                <c:pt idx="6">
                  <c:v>350.0</c:v>
                </c:pt>
                <c:pt idx="7">
                  <c:v>375.0</c:v>
                </c:pt>
                <c:pt idx="8">
                  <c:v>400.0</c:v>
                </c:pt>
                <c:pt idx="9">
                  <c:v>425.0</c:v>
                </c:pt>
                <c:pt idx="10">
                  <c:v>450.0</c:v>
                </c:pt>
                <c:pt idx="11">
                  <c:v>475.0</c:v>
                </c:pt>
              </c:numCache>
            </c:numRef>
          </c:xVal>
          <c:yVal>
            <c:numRef>
              <c:f>'Graph Data'!$K$119:$V$119</c:f>
              <c:numCache>
                <c:formatCode>General</c:formatCode>
                <c:ptCount val="12"/>
                <c:pt idx="0">
                  <c:v>8.25</c:v>
                </c:pt>
                <c:pt idx="1">
                  <c:v>7.29765590446705</c:v>
                </c:pt>
                <c:pt idx="2">
                  <c:v>6.6</c:v>
                </c:pt>
                <c:pt idx="3">
                  <c:v>6</c:v>
                </c:pt>
                <c:pt idx="4">
                  <c:v>5.5</c:v>
                </c:pt>
                <c:pt idx="5">
                  <c:v>5.076923076923076</c:v>
                </c:pt>
                <c:pt idx="6">
                  <c:v>4.714285714285714</c:v>
                </c:pt>
                <c:pt idx="7">
                  <c:v>4.399999999999999</c:v>
                </c:pt>
                <c:pt idx="8">
                  <c:v>4.125</c:v>
                </c:pt>
                <c:pt idx="9">
                  <c:v>3.882352941176471</c:v>
                </c:pt>
                <c:pt idx="10">
                  <c:v>3.666666666666666</c:v>
                </c:pt>
                <c:pt idx="11">
                  <c:v>3.473684210526315</c:v>
                </c:pt>
              </c:numCache>
            </c:numRef>
          </c:yVal>
          <c:smooth val="1"/>
        </c:ser>
        <c:ser>
          <c:idx val="15"/>
          <c:order val="15"/>
          <c:tx>
            <c:strRef>
              <c:f>Parameters!$C$2:$C$3</c:f>
              <c:strCache>
                <c:ptCount val="1"/>
                <c:pt idx="0">
                  <c:v>Rk (Ohms) 1500</c:v>
                </c:pt>
              </c:strCache>
            </c:strRef>
          </c:tx>
          <c:spPr>
            <a:ln w="38100">
              <a:solidFill>
                <a:srgbClr val="1FB714"/>
              </a:solidFill>
              <a:prstDash val="solid"/>
            </a:ln>
          </c:spPr>
          <c:marker>
            <c:symbol val="none"/>
          </c:marker>
          <c:xVal>
            <c:numRef>
              <c:f>'Graph Data'!$AE$105:$AE$117</c:f>
              <c:numCache>
                <c:formatCode>General</c:formatCode>
                <c:ptCount val="13"/>
                <c:pt idx="0">
                  <c:v>0.0</c:v>
                </c:pt>
                <c:pt idx="1">
                  <c:v>45.51842698974387</c:v>
                </c:pt>
                <c:pt idx="2">
                  <c:v>118.0108619021203</c:v>
                </c:pt>
                <c:pt idx="3">
                  <c:v>184.0286324961361</c:v>
                </c:pt>
                <c:pt idx="4">
                  <c:v>244.6373388282132</c:v>
                </c:pt>
                <c:pt idx="5">
                  <c:v>304.2239838638286</c:v>
                </c:pt>
                <c:pt idx="6">
                  <c:v>360.5909453065402</c:v>
                </c:pt>
                <c:pt idx="7">
                  <c:v>414.0650741740311</c:v>
                </c:pt>
                <c:pt idx="8">
                  <c:v>473.2245490794395</c:v>
                </c:pt>
                <c:pt idx="9">
                  <c:v>543.711193299812</c:v>
                </c:pt>
                <c:pt idx="10">
                  <c:v>628.1399701451293</c:v>
                </c:pt>
                <c:pt idx="11">
                  <c:v>672.0549918711682</c:v>
                </c:pt>
                <c:pt idx="12">
                  <c:v>771.000398435523</c:v>
                </c:pt>
              </c:numCache>
            </c:numRef>
          </c:xVal>
          <c:yVal>
            <c:numRef>
              <c:f>'Graph Data'!$AD$105:$AD$117</c:f>
              <c:numCache>
                <c:formatCode>General</c:formatCode>
                <c:ptCount val="13"/>
                <c:pt idx="0">
                  <c:v>0.0</c:v>
                </c:pt>
                <c:pt idx="1">
                  <c:v>0.666666666666667</c:v>
                </c:pt>
                <c:pt idx="2">
                  <c:v>1.333333333333333</c:v>
                </c:pt>
                <c:pt idx="3">
                  <c:v>2.0</c:v>
                </c:pt>
                <c:pt idx="4">
                  <c:v>2.666666666666666</c:v>
                </c:pt>
                <c:pt idx="5">
                  <c:v>3.333333333333333</c:v>
                </c:pt>
                <c:pt idx="6">
                  <c:v>4.0</c:v>
                </c:pt>
                <c:pt idx="7">
                  <c:v>4.666666666666667</c:v>
                </c:pt>
                <c:pt idx="8">
                  <c:v>5.333333333333332</c:v>
                </c:pt>
                <c:pt idx="9">
                  <c:v>6.0</c:v>
                </c:pt>
                <c:pt idx="10">
                  <c:v>6.666666666666667</c:v>
                </c:pt>
                <c:pt idx="11">
                  <c:v>7.333333333333332</c:v>
                </c:pt>
                <c:pt idx="12">
                  <c:v>8.0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46573752"/>
        <c:axId val="2046580024"/>
      </c:scatterChart>
      <c:valAx>
        <c:axId val="2046573752"/>
        <c:scaling>
          <c:orientation val="minMax"/>
          <c:max val="475.0"/>
          <c:min val="0.0"/>
        </c:scaling>
        <c:delete val="0"/>
        <c:axPos val="b"/>
        <c:majorGridlines>
          <c:spPr>
            <a:ln w="25400">
              <a:solidFill>
                <a:srgbClr val="808080"/>
              </a:solidFill>
              <a:prstDash val="solid"/>
            </a:ln>
          </c:spPr>
        </c:majorGridlines>
        <c:minorGridlines>
          <c:spPr>
            <a:ln w="12700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Va (V)</a:t>
                </a:r>
              </a:p>
            </c:rich>
          </c:tx>
          <c:layout>
            <c:manualLayout>
              <c:xMode val="edge"/>
              <c:yMode val="edge"/>
              <c:x val="0.449655172413793"/>
              <c:y val="0.94570135746606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6580024"/>
        <c:crosses val="autoZero"/>
        <c:crossBetween val="midCat"/>
      </c:valAx>
      <c:valAx>
        <c:axId val="2046580024"/>
        <c:scaling>
          <c:orientation val="minMax"/>
          <c:max val="7.0"/>
          <c:min val="0.0"/>
        </c:scaling>
        <c:delete val="0"/>
        <c:axPos val="l"/>
        <c:majorGridlines>
          <c:spPr>
            <a:ln w="25400">
              <a:solidFill>
                <a:srgbClr val="808080"/>
              </a:solidFill>
              <a:prstDash val="solid"/>
            </a:ln>
          </c:spPr>
        </c:majorGridlines>
        <c:minorGridlines>
          <c:spPr>
            <a:ln w="12700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Ia (mA)</a:t>
                </a:r>
              </a:p>
            </c:rich>
          </c:tx>
          <c:layout>
            <c:manualLayout>
              <c:xMode val="edge"/>
              <c:yMode val="edge"/>
              <c:x val="0.0"/>
              <c:y val="0.40271493212669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46573752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Frequency Response</a:t>
            </a:r>
          </a:p>
        </c:rich>
      </c:tx>
      <c:layout>
        <c:manualLayout>
          <c:xMode val="edge"/>
          <c:yMode val="edge"/>
          <c:x val="0.373793103448276"/>
          <c:y val="0.065610859728506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937931034482758"/>
          <c:y val="0.122171945701357"/>
          <c:w val="0.737931034482759"/>
          <c:h val="0.726244343891403"/>
        </c:manualLayout>
      </c:layout>
      <c:scatterChart>
        <c:scatterStyle val="smoothMarker"/>
        <c:varyColors val="0"/>
        <c:ser>
          <c:idx val="0"/>
          <c:order val="0"/>
          <c:tx>
            <c:v>ECC81</c:v>
          </c:tx>
          <c:spPr>
            <a:ln w="38100">
              <a:solidFill>
                <a:srgbClr val="4600A5"/>
              </a:solidFill>
              <a:prstDash val="solid"/>
            </a:ln>
          </c:spPr>
          <c:marker>
            <c:symbol val="square"/>
            <c:size val="4"/>
            <c:spPr>
              <a:noFill/>
              <a:ln w="9525">
                <a:noFill/>
              </a:ln>
            </c:spPr>
          </c:marker>
          <c:xVal>
            <c:numRef>
              <c:f>'Graph Data'!$C$17:$AS$17</c:f>
              <c:numCache>
                <c:formatCode>0.0</c:formatCode>
                <c:ptCount val="43"/>
                <c:pt idx="0">
                  <c:v>10.0</c:v>
                </c:pt>
                <c:pt idx="1">
                  <c:v>11.8</c:v>
                </c:pt>
                <c:pt idx="2">
                  <c:v>13.924</c:v>
                </c:pt>
                <c:pt idx="3">
                  <c:v>16.43031999999999</c:v>
                </c:pt>
                <c:pt idx="4">
                  <c:v>19.38777759999999</c:v>
                </c:pt>
                <c:pt idx="5">
                  <c:v>22.87757756799999</c:v>
                </c:pt>
                <c:pt idx="6">
                  <c:v>26.99554153023999</c:v>
                </c:pt>
                <c:pt idx="7">
                  <c:v>31.85473900568318</c:v>
                </c:pt>
                <c:pt idx="8">
                  <c:v>37.58859202670615</c:v>
                </c:pt>
                <c:pt idx="9">
                  <c:v>44.35453859151325</c:v>
                </c:pt>
                <c:pt idx="10">
                  <c:v>52.33835553798563</c:v>
                </c:pt>
                <c:pt idx="11">
                  <c:v>61.75925953482304</c:v>
                </c:pt>
                <c:pt idx="12">
                  <c:v>72.87592625109119</c:v>
                </c:pt>
                <c:pt idx="13">
                  <c:v>85.9935929762876</c:v>
                </c:pt>
                <c:pt idx="14">
                  <c:v>101.4724397120194</c:v>
                </c:pt>
                <c:pt idx="15">
                  <c:v>119.7374788601828</c:v>
                </c:pt>
                <c:pt idx="16">
                  <c:v>141.2902250550158</c:v>
                </c:pt>
                <c:pt idx="17">
                  <c:v>166.7224655649186</c:v>
                </c:pt>
                <c:pt idx="18">
                  <c:v>196.732509366604</c:v>
                </c:pt>
                <c:pt idx="19">
                  <c:v>232.1443610525926</c:v>
                </c:pt>
                <c:pt idx="20">
                  <c:v>273.9303460420593</c:v>
                </c:pt>
                <c:pt idx="21">
                  <c:v>323.23780832963</c:v>
                </c:pt>
                <c:pt idx="22">
                  <c:v>381.4206138289633</c:v>
                </c:pt>
                <c:pt idx="23">
                  <c:v>450.0763243181767</c:v>
                </c:pt>
                <c:pt idx="24">
                  <c:v>531.0900626954485</c:v>
                </c:pt>
                <c:pt idx="25">
                  <c:v>626.6862739806292</c:v>
                </c:pt>
                <c:pt idx="26">
                  <c:v>739.4898032971425</c:v>
                </c:pt>
                <c:pt idx="27">
                  <c:v>872.5979678906282</c:v>
                </c:pt>
                <c:pt idx="28">
                  <c:v>1029.665602110941</c:v>
                </c:pt>
                <c:pt idx="29">
                  <c:v>1215.00541049091</c:v>
                </c:pt>
                <c:pt idx="30">
                  <c:v>1433.706384379274</c:v>
                </c:pt>
                <c:pt idx="31">
                  <c:v>1691.773533567543</c:v>
                </c:pt>
                <c:pt idx="32">
                  <c:v>1996.292769609701</c:v>
                </c:pt>
                <c:pt idx="33">
                  <c:v>2355.625468139447</c:v>
                </c:pt>
                <c:pt idx="34">
                  <c:v>2779.638052404548</c:v>
                </c:pt>
                <c:pt idx="35">
                  <c:v>3279.972901837366</c:v>
                </c:pt>
                <c:pt idx="36">
                  <c:v>3870.368024168092</c:v>
                </c:pt>
                <c:pt idx="37">
                  <c:v>4567.034268518347</c:v>
                </c:pt>
                <c:pt idx="38">
                  <c:v>5389.10043685165</c:v>
                </c:pt>
                <c:pt idx="39">
                  <c:v>6359.138515484946</c:v>
                </c:pt>
                <c:pt idx="40">
                  <c:v>7503.783448272236</c:v>
                </c:pt>
                <c:pt idx="41">
                  <c:v>8854.464468961237</c:v>
                </c:pt>
                <c:pt idx="42">
                  <c:v>10000.0</c:v>
                </c:pt>
              </c:numCache>
            </c:numRef>
          </c:xVal>
          <c:yVal>
            <c:numRef>
              <c:f>'Graph Data'!$C$25:$AS$25</c:f>
              <c:numCache>
                <c:formatCode>0.0</c:formatCode>
                <c:ptCount val="43"/>
                <c:pt idx="0">
                  <c:v>21.18617474697189</c:v>
                </c:pt>
                <c:pt idx="1">
                  <c:v>22.8924699513542</c:v>
                </c:pt>
                <c:pt idx="2">
                  <c:v>24.48232633174897</c:v>
                </c:pt>
                <c:pt idx="3">
                  <c:v>25.9362174827327</c:v>
                </c:pt>
                <c:pt idx="4">
                  <c:v>27.24051207403054</c:v>
                </c:pt>
                <c:pt idx="5">
                  <c:v>28.38713809537133</c:v>
                </c:pt>
                <c:pt idx="6">
                  <c:v>29.37347827648865</c:v>
                </c:pt>
                <c:pt idx="7">
                  <c:v>30.20253076214771</c:v>
                </c:pt>
                <c:pt idx="8">
                  <c:v>30.88288621740429</c:v>
                </c:pt>
                <c:pt idx="9">
                  <c:v>31.42802784213771</c:v>
                </c:pt>
                <c:pt idx="10">
                  <c:v>31.85483792489789</c:v>
                </c:pt>
                <c:pt idx="11">
                  <c:v>32.18164622960519</c:v>
                </c:pt>
                <c:pt idx="12">
                  <c:v>32.42634490462662</c:v>
                </c:pt>
                <c:pt idx="13">
                  <c:v>32.60496660663338</c:v>
                </c:pt>
                <c:pt idx="14">
                  <c:v>32.73085496839143</c:v>
                </c:pt>
                <c:pt idx="15">
                  <c:v>32.81433918534448</c:v>
                </c:pt>
                <c:pt idx="16">
                  <c:v>32.86272988605385</c:v>
                </c:pt>
                <c:pt idx="17">
                  <c:v>32.88045674040176</c:v>
                </c:pt>
                <c:pt idx="18">
                  <c:v>32.86921723891624</c:v>
                </c:pt>
                <c:pt idx="19">
                  <c:v>32.82806405694249</c:v>
                </c:pt>
                <c:pt idx="20">
                  <c:v>32.7534119223382</c:v>
                </c:pt>
                <c:pt idx="21">
                  <c:v>32.63899547713922</c:v>
                </c:pt>
                <c:pt idx="22">
                  <c:v>32.47586322299594</c:v>
                </c:pt>
                <c:pt idx="23">
                  <c:v>32.25254947212277</c:v>
                </c:pt>
                <c:pt idx="24">
                  <c:v>31.95560997702423</c:v>
                </c:pt>
                <c:pt idx="25">
                  <c:v>31.57069696181719</c:v>
                </c:pt>
                <c:pt idx="26">
                  <c:v>31.0842304823122</c:v>
                </c:pt>
                <c:pt idx="27">
                  <c:v>30.48547228323312</c:v>
                </c:pt>
                <c:pt idx="28">
                  <c:v>29.76850616941842</c:v>
                </c:pt>
                <c:pt idx="29">
                  <c:v>28.93347486268002</c:v>
                </c:pt>
                <c:pt idx="30">
                  <c:v>27.98660194312423</c:v>
                </c:pt>
                <c:pt idx="31">
                  <c:v>26.93899906175107</c:v>
                </c:pt>
                <c:pt idx="32">
                  <c:v>25.8047314714952</c:v>
                </c:pt>
                <c:pt idx="33">
                  <c:v>24.59879635925422</c:v>
                </c:pt>
                <c:pt idx="34">
                  <c:v>23.33551691792517</c:v>
                </c:pt>
                <c:pt idx="35">
                  <c:v>22.02755430392072</c:v>
                </c:pt>
                <c:pt idx="36">
                  <c:v>20.68548947166681</c:v>
                </c:pt>
                <c:pt idx="37">
                  <c:v>19.31780848027351</c:v>
                </c:pt>
                <c:pt idx="38">
                  <c:v>17.93111492585216</c:v>
                </c:pt>
                <c:pt idx="39">
                  <c:v>16.53043532715422</c:v>
                </c:pt>
                <c:pt idx="40">
                  <c:v>15.11953468554777</c:v>
                </c:pt>
                <c:pt idx="41">
                  <c:v>13.70120031065659</c:v>
                </c:pt>
                <c:pt idx="42">
                  <c:v>12.65510923049657</c:v>
                </c:pt>
              </c:numCache>
            </c:numRef>
          </c:yVal>
          <c:smooth val="1"/>
        </c:ser>
        <c:ser>
          <c:idx val="1"/>
          <c:order val="1"/>
          <c:tx>
            <c:v>ECC82</c:v>
          </c:tx>
          <c:spPr>
            <a:ln w="38100">
              <a:solidFill>
                <a:srgbClr val="006411"/>
              </a:solidFill>
              <a:prstDash val="solid"/>
            </a:ln>
          </c:spPr>
          <c:marker>
            <c:symbol val="square"/>
            <c:size val="4"/>
            <c:spPr>
              <a:noFill/>
              <a:ln w="9525">
                <a:noFill/>
              </a:ln>
            </c:spPr>
          </c:marker>
          <c:xVal>
            <c:numRef>
              <c:f>'Graph Data'!$C$43:$AS$43</c:f>
              <c:numCache>
                <c:formatCode>0.0</c:formatCode>
                <c:ptCount val="43"/>
                <c:pt idx="0">
                  <c:v>10.0</c:v>
                </c:pt>
                <c:pt idx="1">
                  <c:v>11.8</c:v>
                </c:pt>
                <c:pt idx="2">
                  <c:v>13.924</c:v>
                </c:pt>
                <c:pt idx="3">
                  <c:v>16.43031999999999</c:v>
                </c:pt>
                <c:pt idx="4">
                  <c:v>19.38777759999999</c:v>
                </c:pt>
                <c:pt idx="5">
                  <c:v>22.87757756799999</c:v>
                </c:pt>
                <c:pt idx="6">
                  <c:v>26.99554153023999</c:v>
                </c:pt>
                <c:pt idx="7">
                  <c:v>31.85473900568318</c:v>
                </c:pt>
                <c:pt idx="8">
                  <c:v>37.58859202670615</c:v>
                </c:pt>
                <c:pt idx="9">
                  <c:v>44.35453859151325</c:v>
                </c:pt>
                <c:pt idx="10">
                  <c:v>52.33835553798563</c:v>
                </c:pt>
                <c:pt idx="11">
                  <c:v>61.75925953482304</c:v>
                </c:pt>
                <c:pt idx="12">
                  <c:v>72.87592625109119</c:v>
                </c:pt>
                <c:pt idx="13">
                  <c:v>85.9935929762876</c:v>
                </c:pt>
                <c:pt idx="14">
                  <c:v>101.4724397120194</c:v>
                </c:pt>
                <c:pt idx="15">
                  <c:v>119.7374788601828</c:v>
                </c:pt>
                <c:pt idx="16">
                  <c:v>141.2902250550158</c:v>
                </c:pt>
                <c:pt idx="17">
                  <c:v>166.7224655649186</c:v>
                </c:pt>
                <c:pt idx="18">
                  <c:v>196.732509366604</c:v>
                </c:pt>
                <c:pt idx="19">
                  <c:v>232.1443610525926</c:v>
                </c:pt>
                <c:pt idx="20">
                  <c:v>273.9303460420593</c:v>
                </c:pt>
                <c:pt idx="21">
                  <c:v>323.23780832963</c:v>
                </c:pt>
                <c:pt idx="22">
                  <c:v>381.4206138289633</c:v>
                </c:pt>
                <c:pt idx="23">
                  <c:v>450.0763243181767</c:v>
                </c:pt>
                <c:pt idx="24">
                  <c:v>531.0900626954485</c:v>
                </c:pt>
                <c:pt idx="25">
                  <c:v>626.6862739806292</c:v>
                </c:pt>
                <c:pt idx="26">
                  <c:v>739.4898032971425</c:v>
                </c:pt>
                <c:pt idx="27">
                  <c:v>872.5979678906282</c:v>
                </c:pt>
                <c:pt idx="28">
                  <c:v>1029.665602110941</c:v>
                </c:pt>
                <c:pt idx="29">
                  <c:v>1215.00541049091</c:v>
                </c:pt>
                <c:pt idx="30">
                  <c:v>1433.706384379274</c:v>
                </c:pt>
                <c:pt idx="31">
                  <c:v>1691.773533567543</c:v>
                </c:pt>
                <c:pt idx="32">
                  <c:v>1996.292769609701</c:v>
                </c:pt>
                <c:pt idx="33">
                  <c:v>2355.625468139447</c:v>
                </c:pt>
                <c:pt idx="34">
                  <c:v>2779.638052404548</c:v>
                </c:pt>
                <c:pt idx="35">
                  <c:v>3279.972901837366</c:v>
                </c:pt>
                <c:pt idx="36">
                  <c:v>3870.368024168092</c:v>
                </c:pt>
                <c:pt idx="37">
                  <c:v>4567.034268518347</c:v>
                </c:pt>
                <c:pt idx="38">
                  <c:v>5389.10043685165</c:v>
                </c:pt>
                <c:pt idx="39">
                  <c:v>6359.138515484946</c:v>
                </c:pt>
                <c:pt idx="40">
                  <c:v>7503.783448272236</c:v>
                </c:pt>
                <c:pt idx="41">
                  <c:v>8854.464468961237</c:v>
                </c:pt>
                <c:pt idx="42">
                  <c:v>10000.0</c:v>
                </c:pt>
              </c:numCache>
            </c:numRef>
          </c:xVal>
          <c:yVal>
            <c:numRef>
              <c:f>'Graph Data'!$C$51:$AS$51</c:f>
              <c:numCache>
                <c:formatCode>0.0</c:formatCode>
                <c:ptCount val="43"/>
                <c:pt idx="0">
                  <c:v>13.15077159716457</c:v>
                </c:pt>
                <c:pt idx="1">
                  <c:v>14.58643658135012</c:v>
                </c:pt>
                <c:pt idx="2">
                  <c:v>15.9386838025589</c:v>
                </c:pt>
                <c:pt idx="3">
                  <c:v>17.19567250680208</c:v>
                </c:pt>
                <c:pt idx="4">
                  <c:v>18.34611898773173</c:v>
                </c:pt>
                <c:pt idx="5">
                  <c:v>19.37976530345991</c:v>
                </c:pt>
                <c:pt idx="6">
                  <c:v>20.28868064030706</c:v>
                </c:pt>
                <c:pt idx="7">
                  <c:v>21.06893719098881</c:v>
                </c:pt>
                <c:pt idx="8">
                  <c:v>21.72192590738107</c:v>
                </c:pt>
                <c:pt idx="9">
                  <c:v>22.25467048860833</c:v>
                </c:pt>
                <c:pt idx="10">
                  <c:v>22.6789459641833</c:v>
                </c:pt>
                <c:pt idx="11">
                  <c:v>23.0095394288481</c:v>
                </c:pt>
                <c:pt idx="12">
                  <c:v>23.26227451278693</c:v>
                </c:pt>
                <c:pt idx="13">
                  <c:v>23.45234831251833</c:v>
                </c:pt>
                <c:pt idx="14">
                  <c:v>23.59324971495352</c:v>
                </c:pt>
                <c:pt idx="15">
                  <c:v>23.69625731814847</c:v>
                </c:pt>
                <c:pt idx="16">
                  <c:v>23.77036681944656</c:v>
                </c:pt>
                <c:pt idx="17">
                  <c:v>23.82246748946251</c:v>
                </c:pt>
                <c:pt idx="18">
                  <c:v>23.85762136659008</c:v>
                </c:pt>
                <c:pt idx="19">
                  <c:v>23.87934943560803</c:v>
                </c:pt>
                <c:pt idx="20">
                  <c:v>23.88987172695415</c:v>
                </c:pt>
                <c:pt idx="21">
                  <c:v>23.89027631001854</c:v>
                </c:pt>
                <c:pt idx="22">
                  <c:v>23.88060747851651</c:v>
                </c:pt>
                <c:pt idx="23">
                  <c:v>23.85987045507372</c:v>
                </c:pt>
                <c:pt idx="24">
                  <c:v>23.82595305682144</c:v>
                </c:pt>
                <c:pt idx="25">
                  <c:v>23.77546790068128</c:v>
                </c:pt>
                <c:pt idx="26">
                  <c:v>23.70352582061612</c:v>
                </c:pt>
                <c:pt idx="27">
                  <c:v>23.60346659657133</c:v>
                </c:pt>
                <c:pt idx="28">
                  <c:v>23.46660127506716</c:v>
                </c:pt>
                <c:pt idx="29">
                  <c:v>23.28206324487695</c:v>
                </c:pt>
                <c:pt idx="30">
                  <c:v>23.03691620470493</c:v>
                </c:pt>
                <c:pt idx="31">
                  <c:v>22.71670173190158</c:v>
                </c:pt>
                <c:pt idx="32">
                  <c:v>22.30657957494654</c:v>
                </c:pt>
                <c:pt idx="33">
                  <c:v>21.79306550497633</c:v>
                </c:pt>
                <c:pt idx="34">
                  <c:v>21.16609836405672</c:v>
                </c:pt>
                <c:pt idx="35">
                  <c:v>20.42088022936785</c:v>
                </c:pt>
                <c:pt idx="36">
                  <c:v>19.55884484637985</c:v>
                </c:pt>
                <c:pt idx="37">
                  <c:v>18.58736965802827</c:v>
                </c:pt>
                <c:pt idx="38">
                  <c:v>17.51835015616108</c:v>
                </c:pt>
                <c:pt idx="39">
                  <c:v>16.36618156323038</c:v>
                </c:pt>
                <c:pt idx="40">
                  <c:v>15.14579199876258</c:v>
                </c:pt>
                <c:pt idx="41">
                  <c:v>13.87116589099684</c:v>
                </c:pt>
                <c:pt idx="42">
                  <c:v>12.90681867818265</c:v>
                </c:pt>
              </c:numCache>
            </c:numRef>
          </c:yVal>
          <c:smooth val="1"/>
        </c:ser>
        <c:ser>
          <c:idx val="2"/>
          <c:order val="2"/>
          <c:tx>
            <c:v>ECC83</c:v>
          </c:tx>
          <c:spPr>
            <a:ln w="38100">
              <a:solidFill>
                <a:srgbClr val="DD0806"/>
              </a:solidFill>
              <a:prstDash val="solid"/>
            </a:ln>
          </c:spPr>
          <c:marker>
            <c:symbol val="square"/>
            <c:size val="4"/>
            <c:spPr>
              <a:noFill/>
              <a:ln w="9525">
                <a:noFill/>
              </a:ln>
            </c:spPr>
          </c:marker>
          <c:xVal>
            <c:numRef>
              <c:f>'Graph Data'!$C$67:$AS$67</c:f>
              <c:numCache>
                <c:formatCode>0.0</c:formatCode>
                <c:ptCount val="43"/>
                <c:pt idx="0">
                  <c:v>10.0</c:v>
                </c:pt>
                <c:pt idx="1">
                  <c:v>11.8</c:v>
                </c:pt>
                <c:pt idx="2">
                  <c:v>13.924</c:v>
                </c:pt>
                <c:pt idx="3">
                  <c:v>16.43031999999999</c:v>
                </c:pt>
                <c:pt idx="4">
                  <c:v>19.38777759999999</c:v>
                </c:pt>
                <c:pt idx="5">
                  <c:v>22.87757756799999</c:v>
                </c:pt>
                <c:pt idx="6">
                  <c:v>26.99554153023999</c:v>
                </c:pt>
                <c:pt idx="7">
                  <c:v>31.85473900568318</c:v>
                </c:pt>
                <c:pt idx="8">
                  <c:v>37.58859202670615</c:v>
                </c:pt>
                <c:pt idx="9">
                  <c:v>44.35453859151325</c:v>
                </c:pt>
                <c:pt idx="10">
                  <c:v>52.33835553798563</c:v>
                </c:pt>
                <c:pt idx="11">
                  <c:v>61.75925953482304</c:v>
                </c:pt>
                <c:pt idx="12">
                  <c:v>72.87592625109119</c:v>
                </c:pt>
                <c:pt idx="13">
                  <c:v>85.9935929762876</c:v>
                </c:pt>
                <c:pt idx="14">
                  <c:v>101.4724397120194</c:v>
                </c:pt>
                <c:pt idx="15">
                  <c:v>119.7374788601828</c:v>
                </c:pt>
                <c:pt idx="16">
                  <c:v>141.2902250550158</c:v>
                </c:pt>
                <c:pt idx="17">
                  <c:v>166.7224655649186</c:v>
                </c:pt>
                <c:pt idx="18">
                  <c:v>196.732509366604</c:v>
                </c:pt>
                <c:pt idx="19">
                  <c:v>232.1443610525926</c:v>
                </c:pt>
                <c:pt idx="20">
                  <c:v>273.9303460420593</c:v>
                </c:pt>
                <c:pt idx="21">
                  <c:v>323.23780832963</c:v>
                </c:pt>
                <c:pt idx="22">
                  <c:v>381.4206138289633</c:v>
                </c:pt>
                <c:pt idx="23">
                  <c:v>450.0763243181767</c:v>
                </c:pt>
                <c:pt idx="24">
                  <c:v>531.0900626954485</c:v>
                </c:pt>
                <c:pt idx="25">
                  <c:v>626.6862739806292</c:v>
                </c:pt>
                <c:pt idx="26">
                  <c:v>739.4898032971425</c:v>
                </c:pt>
                <c:pt idx="27">
                  <c:v>872.5979678906282</c:v>
                </c:pt>
                <c:pt idx="28">
                  <c:v>1029.665602110941</c:v>
                </c:pt>
                <c:pt idx="29">
                  <c:v>1215.00541049091</c:v>
                </c:pt>
                <c:pt idx="30">
                  <c:v>1433.706384379274</c:v>
                </c:pt>
                <c:pt idx="31">
                  <c:v>1691.773533567543</c:v>
                </c:pt>
                <c:pt idx="32">
                  <c:v>1996.292769609701</c:v>
                </c:pt>
                <c:pt idx="33">
                  <c:v>2355.625468139447</c:v>
                </c:pt>
                <c:pt idx="34">
                  <c:v>2779.638052404548</c:v>
                </c:pt>
                <c:pt idx="35">
                  <c:v>3279.972901837366</c:v>
                </c:pt>
                <c:pt idx="36">
                  <c:v>3870.368024168092</c:v>
                </c:pt>
                <c:pt idx="37">
                  <c:v>4567.034268518347</c:v>
                </c:pt>
                <c:pt idx="38">
                  <c:v>5389.10043685165</c:v>
                </c:pt>
                <c:pt idx="39">
                  <c:v>6359.138515484946</c:v>
                </c:pt>
                <c:pt idx="40">
                  <c:v>7503.783448272236</c:v>
                </c:pt>
                <c:pt idx="41">
                  <c:v>8854.464468961237</c:v>
                </c:pt>
                <c:pt idx="42">
                  <c:v>10000.0</c:v>
                </c:pt>
              </c:numCache>
            </c:numRef>
          </c:xVal>
          <c:yVal>
            <c:numRef>
              <c:f>'Graph Data'!$C$75:$AS$75</c:f>
              <c:numCache>
                <c:formatCode>0.0</c:formatCode>
                <c:ptCount val="43"/>
                <c:pt idx="0">
                  <c:v>21.1927116313231</c:v>
                </c:pt>
                <c:pt idx="1">
                  <c:v>22.87194675924694</c:v>
                </c:pt>
                <c:pt idx="2">
                  <c:v>24.42713352229197</c:v>
                </c:pt>
                <c:pt idx="3">
                  <c:v>25.83817795927833</c:v>
                </c:pt>
                <c:pt idx="4">
                  <c:v>27.09173030345091</c:v>
                </c:pt>
                <c:pt idx="5">
                  <c:v>28.18110751261695</c:v>
                </c:pt>
                <c:pt idx="6">
                  <c:v>29.1061889319526</c:v>
                </c:pt>
                <c:pt idx="7">
                  <c:v>29.87322108883503</c:v>
                </c:pt>
                <c:pt idx="8">
                  <c:v>30.49415560704541</c:v>
                </c:pt>
                <c:pt idx="9">
                  <c:v>30.98527047635347</c:v>
                </c:pt>
                <c:pt idx="10">
                  <c:v>31.36522770526048</c:v>
                </c:pt>
                <c:pt idx="11">
                  <c:v>31.65302746610021</c:v>
                </c:pt>
                <c:pt idx="12">
                  <c:v>31.86632004121342</c:v>
                </c:pt>
                <c:pt idx="13">
                  <c:v>32.02031164307285</c:v>
                </c:pt>
                <c:pt idx="14">
                  <c:v>32.12724974902613</c:v>
                </c:pt>
                <c:pt idx="15">
                  <c:v>32.19632651277525</c:v>
                </c:pt>
                <c:pt idx="16">
                  <c:v>32.23380645785469</c:v>
                </c:pt>
                <c:pt idx="17">
                  <c:v>32.2432198280263</c:v>
                </c:pt>
                <c:pt idx="18">
                  <c:v>32.22551914910427</c:v>
                </c:pt>
                <c:pt idx="19">
                  <c:v>32.17914985212771</c:v>
                </c:pt>
                <c:pt idx="20">
                  <c:v>32.10003193576393</c:v>
                </c:pt>
                <c:pt idx="21">
                  <c:v>31.98149426417351</c:v>
                </c:pt>
                <c:pt idx="22">
                  <c:v>31.81425296559621</c:v>
                </c:pt>
                <c:pt idx="23">
                  <c:v>31.58657984927754</c:v>
                </c:pt>
                <c:pt idx="24">
                  <c:v>31.28484782422561</c:v>
                </c:pt>
                <c:pt idx="25">
                  <c:v>30.89462569050967</c:v>
                </c:pt>
                <c:pt idx="26">
                  <c:v>30.4023690705814</c:v>
                </c:pt>
                <c:pt idx="27">
                  <c:v>29.79749786707703</c:v>
                </c:pt>
                <c:pt idx="28">
                  <c:v>29.07435054156395</c:v>
                </c:pt>
                <c:pt idx="29">
                  <c:v>28.23336495817315</c:v>
                </c:pt>
                <c:pt idx="30">
                  <c:v>27.28103244057449</c:v>
                </c:pt>
                <c:pt idx="31">
                  <c:v>26.22865174617165</c:v>
                </c:pt>
                <c:pt idx="32">
                  <c:v>25.09037350253715</c:v>
                </c:pt>
                <c:pt idx="33">
                  <c:v>23.88118887654844</c:v>
                </c:pt>
                <c:pt idx="34">
                  <c:v>22.61535180412815</c:v>
                </c:pt>
                <c:pt idx="35">
                  <c:v>21.30542183750041</c:v>
                </c:pt>
                <c:pt idx="36">
                  <c:v>19.96187034247049</c:v>
                </c:pt>
                <c:pt idx="37">
                  <c:v>18.59308096722796</c:v>
                </c:pt>
                <c:pt idx="38">
                  <c:v>17.20556934070398</c:v>
                </c:pt>
                <c:pt idx="39">
                  <c:v>15.80429042606745</c:v>
                </c:pt>
                <c:pt idx="40">
                  <c:v>14.39295312313036</c:v>
                </c:pt>
                <c:pt idx="41">
                  <c:v>12.97430186378426</c:v>
                </c:pt>
                <c:pt idx="42">
                  <c:v>11.92803517863808</c:v>
                </c:pt>
              </c:numCache>
            </c:numRef>
          </c:yVal>
          <c:smooth val="1"/>
        </c:ser>
        <c:ser>
          <c:idx val="3"/>
          <c:order val="3"/>
          <c:tx>
            <c:v>E88CC</c:v>
          </c:tx>
          <c:spPr>
            <a:ln w="38100">
              <a:solidFill>
                <a:srgbClr val="F20884"/>
              </a:solidFill>
              <a:prstDash val="solid"/>
            </a:ln>
          </c:spPr>
          <c:marker>
            <c:symbol val="square"/>
            <c:size val="4"/>
            <c:spPr>
              <a:noFill/>
              <a:ln w="9525">
                <a:noFill/>
              </a:ln>
            </c:spPr>
          </c:marker>
          <c:xVal>
            <c:numRef>
              <c:f>'Graph Data'!$C$93:$AS$93</c:f>
              <c:numCache>
                <c:formatCode>0.0</c:formatCode>
                <c:ptCount val="43"/>
                <c:pt idx="0">
                  <c:v>10.0</c:v>
                </c:pt>
                <c:pt idx="1">
                  <c:v>11.8</c:v>
                </c:pt>
                <c:pt idx="2">
                  <c:v>13.924</c:v>
                </c:pt>
                <c:pt idx="3">
                  <c:v>16.43031999999999</c:v>
                </c:pt>
                <c:pt idx="4">
                  <c:v>19.38777759999999</c:v>
                </c:pt>
                <c:pt idx="5">
                  <c:v>22.87757756799999</c:v>
                </c:pt>
                <c:pt idx="6">
                  <c:v>26.99554153023999</c:v>
                </c:pt>
                <c:pt idx="7">
                  <c:v>31.85473900568318</c:v>
                </c:pt>
                <c:pt idx="8">
                  <c:v>37.58859202670615</c:v>
                </c:pt>
                <c:pt idx="9">
                  <c:v>44.35453859151325</c:v>
                </c:pt>
                <c:pt idx="10">
                  <c:v>52.33835553798563</c:v>
                </c:pt>
                <c:pt idx="11">
                  <c:v>61.75925953482304</c:v>
                </c:pt>
                <c:pt idx="12">
                  <c:v>72.87592625109119</c:v>
                </c:pt>
                <c:pt idx="13">
                  <c:v>85.9935929762876</c:v>
                </c:pt>
                <c:pt idx="14">
                  <c:v>101.4724397120194</c:v>
                </c:pt>
                <c:pt idx="15">
                  <c:v>119.7374788601828</c:v>
                </c:pt>
                <c:pt idx="16">
                  <c:v>141.2902250550158</c:v>
                </c:pt>
                <c:pt idx="17">
                  <c:v>166.7224655649186</c:v>
                </c:pt>
                <c:pt idx="18">
                  <c:v>196.732509366604</c:v>
                </c:pt>
                <c:pt idx="19">
                  <c:v>232.1443610525926</c:v>
                </c:pt>
                <c:pt idx="20">
                  <c:v>273.9303460420593</c:v>
                </c:pt>
                <c:pt idx="21">
                  <c:v>323.23780832963</c:v>
                </c:pt>
                <c:pt idx="22">
                  <c:v>381.4206138289633</c:v>
                </c:pt>
                <c:pt idx="23">
                  <c:v>450.0763243181767</c:v>
                </c:pt>
                <c:pt idx="24">
                  <c:v>531.0900626954485</c:v>
                </c:pt>
                <c:pt idx="25">
                  <c:v>626.6862739806292</c:v>
                </c:pt>
                <c:pt idx="26">
                  <c:v>739.4898032971425</c:v>
                </c:pt>
                <c:pt idx="27">
                  <c:v>872.5979678906282</c:v>
                </c:pt>
                <c:pt idx="28">
                  <c:v>1029.665602110941</c:v>
                </c:pt>
                <c:pt idx="29">
                  <c:v>1215.00541049091</c:v>
                </c:pt>
                <c:pt idx="30">
                  <c:v>1433.706384379274</c:v>
                </c:pt>
                <c:pt idx="31">
                  <c:v>1691.773533567543</c:v>
                </c:pt>
                <c:pt idx="32">
                  <c:v>1996.292769609701</c:v>
                </c:pt>
                <c:pt idx="33">
                  <c:v>2355.625468139447</c:v>
                </c:pt>
                <c:pt idx="34">
                  <c:v>2779.638052404548</c:v>
                </c:pt>
                <c:pt idx="35">
                  <c:v>3279.972901837366</c:v>
                </c:pt>
                <c:pt idx="36">
                  <c:v>3870.368024168092</c:v>
                </c:pt>
                <c:pt idx="37">
                  <c:v>4567.034268518347</c:v>
                </c:pt>
                <c:pt idx="38">
                  <c:v>5389.10043685165</c:v>
                </c:pt>
                <c:pt idx="39">
                  <c:v>6359.138515484946</c:v>
                </c:pt>
                <c:pt idx="40">
                  <c:v>7503.783448272236</c:v>
                </c:pt>
                <c:pt idx="41">
                  <c:v>8854.464468961237</c:v>
                </c:pt>
                <c:pt idx="42">
                  <c:v>10000.0</c:v>
                </c:pt>
              </c:numCache>
            </c:numRef>
          </c:xVal>
          <c:yVal>
            <c:numRef>
              <c:f>'Graph Data'!$C$101:$AS$101</c:f>
              <c:numCache>
                <c:formatCode>0.0</c:formatCode>
                <c:ptCount val="43"/>
                <c:pt idx="0">
                  <c:v>17.89905488096615</c:v>
                </c:pt>
                <c:pt idx="1">
                  <c:v>19.46280315929344</c:v>
                </c:pt>
                <c:pt idx="2">
                  <c:v>20.92567117449898</c:v>
                </c:pt>
                <c:pt idx="3">
                  <c:v>22.2740244210027</c:v>
                </c:pt>
                <c:pt idx="4">
                  <c:v>23.49699377855482</c:v>
                </c:pt>
                <c:pt idx="5">
                  <c:v>24.58621773326817</c:v>
                </c:pt>
                <c:pt idx="6">
                  <c:v>25.53640774510206</c:v>
                </c:pt>
                <c:pt idx="7">
                  <c:v>26.34645416938282</c:v>
                </c:pt>
                <c:pt idx="8">
                  <c:v>27.02037325857795</c:v>
                </c:pt>
                <c:pt idx="9">
                  <c:v>27.56742060976848</c:v>
                </c:pt>
                <c:pt idx="10">
                  <c:v>28.00113129014359</c:v>
                </c:pt>
                <c:pt idx="11">
                  <c:v>28.33758366164103</c:v>
                </c:pt>
                <c:pt idx="12">
                  <c:v>28.59347330417581</c:v>
                </c:pt>
                <c:pt idx="13">
                  <c:v>28.78451535899499</c:v>
                </c:pt>
                <c:pt idx="14">
                  <c:v>28.92442142218046</c:v>
                </c:pt>
                <c:pt idx="15">
                  <c:v>29.02443570466819</c:v>
                </c:pt>
                <c:pt idx="16">
                  <c:v>29.09327447908135</c:v>
                </c:pt>
                <c:pt idx="17">
                  <c:v>29.13728675740506</c:v>
                </c:pt>
                <c:pt idx="18">
                  <c:v>29.16068936693824</c:v>
                </c:pt>
                <c:pt idx="19">
                  <c:v>29.16578000453835</c:v>
                </c:pt>
                <c:pt idx="20">
                  <c:v>29.15307454618804</c:v>
                </c:pt>
                <c:pt idx="21">
                  <c:v>29.12134487217178</c:v>
                </c:pt>
                <c:pt idx="22">
                  <c:v>29.06755472176604</c:v>
                </c:pt>
                <c:pt idx="23">
                  <c:v>28.98671079829406</c:v>
                </c:pt>
                <c:pt idx="24">
                  <c:v>28.87167209350679</c:v>
                </c:pt>
                <c:pt idx="25">
                  <c:v>28.71299795754151</c:v>
                </c:pt>
                <c:pt idx="26">
                  <c:v>28.49896442559017</c:v>
                </c:pt>
                <c:pt idx="27">
                  <c:v>28.21592423401405</c:v>
                </c:pt>
                <c:pt idx="28">
                  <c:v>27.8491917231038</c:v>
                </c:pt>
                <c:pt idx="29">
                  <c:v>27.38454375709871</c:v>
                </c:pt>
                <c:pt idx="30">
                  <c:v>26.8102048426856</c:v>
                </c:pt>
                <c:pt idx="31">
                  <c:v>26.11888063584283</c:v>
                </c:pt>
                <c:pt idx="32">
                  <c:v>25.30919746918893</c:v>
                </c:pt>
                <c:pt idx="33">
                  <c:v>24.38600318659654</c:v>
                </c:pt>
                <c:pt idx="34">
                  <c:v>23.35940986670042</c:v>
                </c:pt>
                <c:pt idx="35">
                  <c:v>22.24296259630379</c:v>
                </c:pt>
                <c:pt idx="36">
                  <c:v>21.05157967716158</c:v>
                </c:pt>
                <c:pt idx="37">
                  <c:v>19.79982188343696</c:v>
                </c:pt>
                <c:pt idx="38">
                  <c:v>18.50076106102456</c:v>
                </c:pt>
                <c:pt idx="39">
                  <c:v>17.16544509420643</c:v>
                </c:pt>
                <c:pt idx="40">
                  <c:v>15.80280788813063</c:v>
                </c:pt>
                <c:pt idx="41">
                  <c:v>14.41984361621054</c:v>
                </c:pt>
                <c:pt idx="42">
                  <c:v>13.39348036796987</c:v>
                </c:pt>
              </c:numCache>
            </c:numRef>
          </c:yVal>
          <c:smooth val="1"/>
        </c:ser>
        <c:ser>
          <c:idx val="4"/>
          <c:order val="4"/>
          <c:tx>
            <c:v>12AY7</c:v>
          </c:tx>
          <c:spPr>
            <a:ln w="38100">
              <a:solidFill>
                <a:srgbClr val="0000D4"/>
              </a:solidFill>
              <a:prstDash val="solid"/>
            </a:ln>
          </c:spPr>
          <c:marker>
            <c:symbol val="square"/>
            <c:size val="4"/>
            <c:spPr>
              <a:noFill/>
              <a:ln w="9525">
                <a:noFill/>
              </a:ln>
            </c:spPr>
          </c:marker>
          <c:xVal>
            <c:numRef>
              <c:f>'Graph Data'!$C$121:$AS$121</c:f>
              <c:numCache>
                <c:formatCode>0.0</c:formatCode>
                <c:ptCount val="43"/>
                <c:pt idx="0">
                  <c:v>10.0</c:v>
                </c:pt>
                <c:pt idx="1">
                  <c:v>11.8</c:v>
                </c:pt>
                <c:pt idx="2">
                  <c:v>13.924</c:v>
                </c:pt>
                <c:pt idx="3">
                  <c:v>16.43031999999999</c:v>
                </c:pt>
                <c:pt idx="4">
                  <c:v>19.38777759999999</c:v>
                </c:pt>
                <c:pt idx="5">
                  <c:v>22.87757756799999</c:v>
                </c:pt>
                <c:pt idx="6">
                  <c:v>26.99554153023999</c:v>
                </c:pt>
                <c:pt idx="7">
                  <c:v>31.85473900568318</c:v>
                </c:pt>
                <c:pt idx="8">
                  <c:v>37.58859202670615</c:v>
                </c:pt>
                <c:pt idx="9">
                  <c:v>44.35453859151325</c:v>
                </c:pt>
                <c:pt idx="10">
                  <c:v>52.33835553798563</c:v>
                </c:pt>
                <c:pt idx="11">
                  <c:v>61.75925953482304</c:v>
                </c:pt>
                <c:pt idx="12">
                  <c:v>72.87592625109119</c:v>
                </c:pt>
                <c:pt idx="13">
                  <c:v>85.9935929762876</c:v>
                </c:pt>
                <c:pt idx="14">
                  <c:v>101.4724397120194</c:v>
                </c:pt>
                <c:pt idx="15">
                  <c:v>119.7374788601828</c:v>
                </c:pt>
                <c:pt idx="16">
                  <c:v>141.2902250550158</c:v>
                </c:pt>
                <c:pt idx="17">
                  <c:v>166.7224655649186</c:v>
                </c:pt>
                <c:pt idx="18">
                  <c:v>196.732509366604</c:v>
                </c:pt>
                <c:pt idx="19">
                  <c:v>232.1443610525926</c:v>
                </c:pt>
                <c:pt idx="20">
                  <c:v>273.9303460420593</c:v>
                </c:pt>
                <c:pt idx="21">
                  <c:v>323.23780832963</c:v>
                </c:pt>
                <c:pt idx="22">
                  <c:v>381.4206138289633</c:v>
                </c:pt>
                <c:pt idx="23">
                  <c:v>450.0763243181767</c:v>
                </c:pt>
                <c:pt idx="24">
                  <c:v>531.0900626954485</c:v>
                </c:pt>
                <c:pt idx="25">
                  <c:v>626.6862739806292</c:v>
                </c:pt>
                <c:pt idx="26">
                  <c:v>739.4898032971425</c:v>
                </c:pt>
                <c:pt idx="27">
                  <c:v>872.5979678906282</c:v>
                </c:pt>
                <c:pt idx="28">
                  <c:v>1029.665602110941</c:v>
                </c:pt>
                <c:pt idx="29">
                  <c:v>1215.00541049091</c:v>
                </c:pt>
                <c:pt idx="30">
                  <c:v>1433.706384379274</c:v>
                </c:pt>
                <c:pt idx="31">
                  <c:v>1691.773533567543</c:v>
                </c:pt>
                <c:pt idx="32">
                  <c:v>1996.292769609701</c:v>
                </c:pt>
                <c:pt idx="33">
                  <c:v>2355.625468139447</c:v>
                </c:pt>
                <c:pt idx="34">
                  <c:v>2779.638052404548</c:v>
                </c:pt>
                <c:pt idx="35">
                  <c:v>3279.972901837366</c:v>
                </c:pt>
                <c:pt idx="36">
                  <c:v>3870.368024168092</c:v>
                </c:pt>
                <c:pt idx="37">
                  <c:v>4567.034268518347</c:v>
                </c:pt>
                <c:pt idx="38">
                  <c:v>5389.10043685165</c:v>
                </c:pt>
                <c:pt idx="39">
                  <c:v>6359.138515484946</c:v>
                </c:pt>
                <c:pt idx="40">
                  <c:v>7503.783448272236</c:v>
                </c:pt>
                <c:pt idx="41">
                  <c:v>8854.464468961237</c:v>
                </c:pt>
                <c:pt idx="42">
                  <c:v>10000.0</c:v>
                </c:pt>
              </c:numCache>
            </c:numRef>
          </c:xVal>
          <c:yVal>
            <c:numRef>
              <c:f>'Graph Data'!$C$129:$AS$129</c:f>
              <c:numCache>
                <c:formatCode>0.0</c:formatCode>
                <c:ptCount val="43"/>
                <c:pt idx="0">
                  <c:v>17.96463804066632</c:v>
                </c:pt>
                <c:pt idx="1">
                  <c:v>19.51169933394505</c:v>
                </c:pt>
                <c:pt idx="2">
                  <c:v>20.95256788129109</c:v>
                </c:pt>
                <c:pt idx="3">
                  <c:v>22.27307849243531</c:v>
                </c:pt>
                <c:pt idx="4">
                  <c:v>23.46235929867385</c:v>
                </c:pt>
                <c:pt idx="5">
                  <c:v>24.51277800242376</c:v>
                </c:pt>
                <c:pt idx="6">
                  <c:v>25.42057596527103</c:v>
                </c:pt>
                <c:pt idx="7">
                  <c:v>26.18681271449772</c:v>
                </c:pt>
                <c:pt idx="8">
                  <c:v>26.81792088289706</c:v>
                </c:pt>
                <c:pt idx="9">
                  <c:v>27.32532972111817</c:v>
                </c:pt>
                <c:pt idx="10">
                  <c:v>27.72411530500846</c:v>
                </c:pt>
                <c:pt idx="11">
                  <c:v>28.03110875253753</c:v>
                </c:pt>
                <c:pt idx="12">
                  <c:v>28.26304835517961</c:v>
                </c:pt>
                <c:pt idx="13">
                  <c:v>28.43519506774644</c:v>
                </c:pt>
                <c:pt idx="14">
                  <c:v>28.56054484722306</c:v>
                </c:pt>
                <c:pt idx="15">
                  <c:v>28.64955213192147</c:v>
                </c:pt>
                <c:pt idx="16">
                  <c:v>28.71018735221282</c:v>
                </c:pt>
                <c:pt idx="17">
                  <c:v>28.74815564211179</c:v>
                </c:pt>
                <c:pt idx="18">
                  <c:v>28.76714932366827</c:v>
                </c:pt>
                <c:pt idx="19">
                  <c:v>28.7690557013828</c:v>
                </c:pt>
                <c:pt idx="20">
                  <c:v>28.75407905240143</c:v>
                </c:pt>
                <c:pt idx="21">
                  <c:v>28.72076049147685</c:v>
                </c:pt>
                <c:pt idx="22">
                  <c:v>28.66589690629613</c:v>
                </c:pt>
                <c:pt idx="23">
                  <c:v>28.58437755822688</c:v>
                </c:pt>
                <c:pt idx="24">
                  <c:v>28.4689814001114</c:v>
                </c:pt>
                <c:pt idx="25">
                  <c:v>28.31021505639482</c:v>
                </c:pt>
                <c:pt idx="26">
                  <c:v>28.09632013647732</c:v>
                </c:pt>
                <c:pt idx="27">
                  <c:v>27.81362458213268</c:v>
                </c:pt>
                <c:pt idx="28">
                  <c:v>27.44741907674297</c:v>
                </c:pt>
                <c:pt idx="29">
                  <c:v>26.9834504972247</c:v>
                </c:pt>
                <c:pt idx="30">
                  <c:v>26.40990250184013</c:v>
                </c:pt>
                <c:pt idx="31">
                  <c:v>25.71942950641056</c:v>
                </c:pt>
                <c:pt idx="32">
                  <c:v>24.91060216058231</c:v>
                </c:pt>
                <c:pt idx="33">
                  <c:v>23.98821733037291</c:v>
                </c:pt>
                <c:pt idx="34">
                  <c:v>22.96234905281322</c:v>
                </c:pt>
                <c:pt idx="35">
                  <c:v>21.84652127523965</c:v>
                </c:pt>
                <c:pt idx="36">
                  <c:v>20.65564709754252</c:v>
                </c:pt>
                <c:pt idx="37">
                  <c:v>19.40429383776405</c:v>
                </c:pt>
                <c:pt idx="38">
                  <c:v>18.10554658451031</c:v>
                </c:pt>
                <c:pt idx="39">
                  <c:v>16.77046892957947</c:v>
                </c:pt>
                <c:pt idx="40">
                  <c:v>15.40801014877414</c:v>
                </c:pt>
                <c:pt idx="41">
                  <c:v>14.02517797666777</c:v>
                </c:pt>
                <c:pt idx="42">
                  <c:v>12.99888890346265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1371448"/>
        <c:axId val="2101361704"/>
      </c:scatterChart>
      <c:valAx>
        <c:axId val="2101371448"/>
        <c:scaling>
          <c:logBase val="10.0"/>
          <c:orientation val="minMax"/>
          <c:max val="10000.0"/>
          <c:min val="10.0"/>
        </c:scaling>
        <c:delete val="0"/>
        <c:axPos val="b"/>
        <c:majorGridlines>
          <c:spPr>
            <a:ln w="25400">
              <a:solidFill>
                <a:srgbClr val="808080"/>
              </a:solidFill>
              <a:prstDash val="solid"/>
            </a:ln>
          </c:spPr>
        </c:majorGridlines>
        <c:minorGridlines>
          <c:spPr>
            <a:ln w="25400">
              <a:solidFill>
                <a:srgbClr val="C0C0C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Frequency (Hz)</a:t>
                </a:r>
              </a:p>
            </c:rich>
          </c:tx>
          <c:layout>
            <c:manualLayout>
              <c:xMode val="edge"/>
              <c:yMode val="edge"/>
              <c:x val="0.380689655172414"/>
              <c:y val="0.857466063348416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01361704"/>
        <c:crosses val="autoZero"/>
        <c:crossBetween val="midCat"/>
        <c:majorUnit val="10.0"/>
        <c:minorUnit val="10.0"/>
      </c:valAx>
      <c:valAx>
        <c:axId val="2101361704"/>
        <c:scaling>
          <c:orientation val="minMax"/>
          <c:max val="38.0"/>
          <c:min val="20.0"/>
        </c:scaling>
        <c:delete val="0"/>
        <c:axPos val="l"/>
        <c:majorGridlines>
          <c:spPr>
            <a:ln w="25400">
              <a:solidFill>
                <a:srgbClr val="80808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Gain (dB)</a:t>
                </a:r>
              </a:p>
            </c:rich>
          </c:tx>
          <c:layout>
            <c:manualLayout>
              <c:xMode val="edge"/>
              <c:yMode val="edge"/>
              <c:x val="0.016551724137931"/>
              <c:y val="0.395927601809955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01371448"/>
        <c:crossesAt val="10.0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5862068965517"/>
          <c:y val="0.350678733031674"/>
          <c:w val="0.12"/>
          <c:h val="0.2398190045248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7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3">
    <tabColor indexed="20"/>
  </sheetPr>
  <sheetViews>
    <sheetView workbookViewId="0"/>
  </sheetViews>
  <pageMargins left="0.75" right="0.75" top="1" bottom="1" header="0.5" footer="0.5"/>
  <pageSetup paperSize="9" orientation="landscape" horizontalDpi="300" verticalDpi="300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Chart4">
    <tabColor indexed="17"/>
  </sheetPr>
  <sheetViews>
    <sheetView tabSelected="1" zoomScale="102" workbookViewId="0"/>
  </sheetViews>
  <pageMargins left="0.75" right="0.75" top="1" bottom="1" header="0.5" footer="0.5"/>
  <pageSetup paperSize="9" orientation="landscape" horizontalDpi="300" verticalDpi="300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Chart5">
    <tabColor indexed="10"/>
  </sheetPr>
  <sheetViews>
    <sheetView zoomScale="102" workbookViewId="0"/>
  </sheetViews>
  <pageMargins left="0.75" right="0.75" top="1" bottom="1" header="0.5" footer="0.5"/>
  <pageSetup paperSize="9" orientation="landscape" horizontalDpi="300" verticalDpi="300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>
    <tabColor indexed="14"/>
  </sheetPr>
  <sheetViews>
    <sheetView zoomScale="102" workbookViewId="0"/>
  </sheetViews>
  <pageMargins left="0.75" right="0.75" top="1" bottom="1" header="0.5" footer="0.5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 codeName="Chart6">
    <tabColor indexed="12"/>
  </sheetPr>
  <sheetViews>
    <sheetView workbookViewId="0"/>
  </sheetViews>
  <pageMargins left="0.75" right="0.75" top="1" bottom="1" header="0.5" footer="0.5"/>
  <pageSetup paperSize="9" orientation="landscape" horizontalDpi="4294967292" verticalDpi="4294967292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>
    <tabColor indexed="41"/>
  </sheetPr>
  <sheetViews>
    <sheetView zoomScale="98" workbookViewId="0"/>
  </sheetViews>
  <pageMargins left="0.75" right="0.75" top="1" bottom="1" header="0.5" footer="0.5"/>
  <pageSetup paperSize="9" orientation="landscape" horizontalDpi="300" verticalDpi="30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190500</xdr:rowOff>
    </xdr:from>
    <xdr:to>
      <xdr:col>2</xdr:col>
      <xdr:colOff>711200</xdr:colOff>
      <xdr:row>10</xdr:row>
      <xdr:rowOff>12700</xdr:rowOff>
    </xdr:to>
    <xdr:pic>
      <xdr:nvPicPr>
        <xdr:cNvPr id="1029" name="Picture 5" descr="Diagra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4100"/>
          <a:ext cx="2578100" cy="269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07500" cy="56134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13725" cy="56153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13725" cy="56153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07500" cy="56134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07500" cy="56134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01020" cy="561132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26"/>
  </sheetPr>
  <dimension ref="A1:M36"/>
  <sheetViews>
    <sheetView showRuler="0" zoomScale="90" workbookViewId="0">
      <selection activeCell="H6" sqref="H6"/>
    </sheetView>
  </sheetViews>
  <sheetFormatPr baseColWidth="10" defaultColWidth="8.83203125" defaultRowHeight="12" x14ac:dyDescent="0"/>
  <cols>
    <col min="1" max="1" width="10.5" customWidth="1"/>
    <col min="2" max="3" width="14" customWidth="1"/>
    <col min="4" max="4" width="12.83203125" customWidth="1"/>
    <col min="5" max="5" width="10.6640625" customWidth="1"/>
    <col min="6" max="6" width="11.5" customWidth="1"/>
    <col min="7" max="7" width="13.5" customWidth="1"/>
    <col min="8" max="8" width="14.33203125" customWidth="1"/>
    <col min="9" max="9" width="11.33203125" customWidth="1"/>
    <col min="10" max="10" width="11.1640625" customWidth="1"/>
    <col min="11" max="11" width="13.6640625" customWidth="1"/>
    <col min="12" max="12" width="14.83203125" customWidth="1"/>
    <col min="13" max="13" width="15" customWidth="1"/>
  </cols>
  <sheetData>
    <row r="1" spans="1:13" ht="35.25" customHeight="1" thickTop="1" thickBot="1">
      <c r="A1" s="5" t="s">
        <v>42</v>
      </c>
      <c r="B1" s="10"/>
      <c r="C1" s="10"/>
      <c r="D1" s="10"/>
      <c r="E1" s="10"/>
      <c r="F1" s="10"/>
      <c r="G1" s="10"/>
      <c r="H1" s="11"/>
      <c r="J1" s="124"/>
    </row>
    <row r="2" spans="1:13" ht="33.75" customHeight="1" thickTop="1" thickBot="1">
      <c r="A2" s="12" t="s">
        <v>39</v>
      </c>
      <c r="B2" s="12" t="s">
        <v>4</v>
      </c>
      <c r="C2" s="12" t="s">
        <v>5</v>
      </c>
      <c r="D2" s="13" t="s">
        <v>7</v>
      </c>
      <c r="E2" s="12" t="s">
        <v>6</v>
      </c>
      <c r="F2" s="12" t="s">
        <v>27</v>
      </c>
      <c r="G2" s="12" t="s">
        <v>25</v>
      </c>
      <c r="H2" s="12" t="s">
        <v>26</v>
      </c>
      <c r="I2" s="2"/>
    </row>
    <row r="3" spans="1:13" ht="16" thickBot="1">
      <c r="A3" s="20">
        <v>240</v>
      </c>
      <c r="B3" s="20">
        <v>100000</v>
      </c>
      <c r="C3" s="20">
        <v>1500</v>
      </c>
      <c r="D3" s="20">
        <v>22</v>
      </c>
      <c r="E3" s="20">
        <v>1000000</v>
      </c>
      <c r="F3" s="20">
        <v>1.6</v>
      </c>
      <c r="G3" s="20">
        <v>220000</v>
      </c>
      <c r="H3" s="20">
        <v>22</v>
      </c>
      <c r="I3" s="88"/>
    </row>
    <row r="4" spans="1:13" ht="30" customHeight="1" thickTop="1"/>
    <row r="5" spans="1:13" ht="30" customHeight="1" thickBot="1"/>
    <row r="6" spans="1:13" ht="28.5" customHeight="1" thickTop="1">
      <c r="D6" s="89" t="s">
        <v>40</v>
      </c>
      <c r="E6" s="90"/>
      <c r="F6" s="90"/>
      <c r="G6" s="91"/>
    </row>
    <row r="7" spans="1:13" ht="31.5" customHeight="1" thickBot="1">
      <c r="D7" s="92" t="s">
        <v>41</v>
      </c>
      <c r="E7" s="93"/>
      <c r="F7" s="93"/>
      <c r="G7" s="94"/>
    </row>
    <row r="8" spans="1:13" ht="30" customHeight="1" thickTop="1"/>
    <row r="9" spans="1:13" ht="31.5" customHeight="1"/>
    <row r="10" spans="1:13" ht="30.75" customHeight="1" thickBot="1">
      <c r="L10" s="64"/>
      <c r="M10" s="64"/>
    </row>
    <row r="11" spans="1:13" ht="17.25" customHeight="1" thickTop="1" thickBot="1">
      <c r="E11" s="67" t="s">
        <v>23</v>
      </c>
      <c r="F11" s="68"/>
      <c r="G11" s="68"/>
      <c r="H11" s="69"/>
      <c r="I11" s="70" t="s">
        <v>24</v>
      </c>
      <c r="J11" s="71"/>
      <c r="K11" s="71"/>
      <c r="L11" s="72"/>
      <c r="M11" s="95"/>
    </row>
    <row r="12" spans="1:13" ht="79.5" customHeight="1" thickTop="1" thickBot="1">
      <c r="B12" s="79" t="s">
        <v>48</v>
      </c>
      <c r="C12" s="80" t="s">
        <v>50</v>
      </c>
      <c r="D12" s="97" t="s">
        <v>51</v>
      </c>
      <c r="E12" s="73" t="s">
        <v>30</v>
      </c>
      <c r="F12" s="74" t="s">
        <v>20</v>
      </c>
      <c r="G12" s="74" t="s">
        <v>9</v>
      </c>
      <c r="H12" s="75" t="s">
        <v>49</v>
      </c>
      <c r="I12" s="76" t="s">
        <v>30</v>
      </c>
      <c r="J12" s="77" t="s">
        <v>20</v>
      </c>
      <c r="K12" s="77" t="s">
        <v>9</v>
      </c>
      <c r="L12" s="78" t="s">
        <v>10</v>
      </c>
      <c r="M12" s="96" t="s">
        <v>49</v>
      </c>
    </row>
    <row r="13" spans="1:13" ht="17" thickTop="1" thickBot="1">
      <c r="A13" s="6" t="s">
        <v>2</v>
      </c>
      <c r="B13" s="81">
        <f>1/(2*PI()*(H13/1000000000000)*$E$3)</f>
        <v>948.38254868082367</v>
      </c>
      <c r="C13" s="81">
        <f>1/(2*PI()*(G13+$G$3)*($H$3/1000000000))</f>
        <v>31.465871122827703</v>
      </c>
      <c r="D13" s="125">
        <f>(1/(2*PI()*$C$3*($D$3/1000000)))*(1+(($C$3*'Valve Spec'!D2+1)/((2*($B$3+'Valve Spec'!E2))+(0.5*(Parameters!$C$3*'Valve Spec'!D2+1)))))^0.5</f>
        <v>5.5768013502168658</v>
      </c>
      <c r="E13" s="82">
        <f>('Valve Spec'!D2*(1/((1/$B$3)+(1/$G$3))))/((1/((1/$B$3)+(1/$G$3)))+'Valve Spec'!E2)</f>
        <v>51.724137931034484</v>
      </c>
      <c r="F13" s="82">
        <f>(LOG10(E13))*20</f>
        <v>34.273865223134507</v>
      </c>
      <c r="G13" s="126">
        <f>($B$3*'Valve Spec'!E2)/(Parameters!$B$3+'Valve Spec'!E2)</f>
        <v>9909.9099099099094</v>
      </c>
      <c r="H13" s="132">
        <f>'Valve Spec'!G2+(($F$3+'Valve Spec'!F2)*E13)</f>
        <v>167.81724137931036</v>
      </c>
      <c r="I13" s="83">
        <f>('Valve Spec'!D2*(1/((1/$B$3)+(1/$G$3))))/((1/((1/$B$3)+(1/$G$3)))+'Valve Spec'!E2+($C$3*('Valve Spec'!D2+1)))</f>
        <v>24.087591240875913</v>
      </c>
      <c r="J13" s="84">
        <f>(LOG10(I13))*20</f>
        <v>27.635867454429611</v>
      </c>
      <c r="K13" s="129">
        <f>($B$3*('Valve Spec'!E2+($C$3*('Valve Spec'!D2+1))))/(Parameters!$B$3+'Valve Spec'!E2+($C$3*('Valve Spec'!D2+1)))</f>
        <v>50617.283950617282</v>
      </c>
      <c r="L13" s="127">
        <f>1/((1/(($B$3+'Valve Spec'!E2)/('Valve Spec'!D2+1)))+(1/$C$3))</f>
        <v>822.22222222222229</v>
      </c>
      <c r="M13" s="131">
        <f>'Valve Spec'!G2+(($F$3+'Valve Spec'!F2)*I13)</f>
        <v>79.380291970802929</v>
      </c>
    </row>
    <row r="14" spans="1:13" ht="17" thickTop="1" thickBot="1">
      <c r="A14" s="7" t="s">
        <v>11</v>
      </c>
      <c r="B14" s="81">
        <f>1/(2*PI()*(H14/1000000000000)*$E$3)</f>
        <v>2909.6801520084809</v>
      </c>
      <c r="C14" s="81">
        <f>1/(2*PI()*(G14+$G$3)*($H$3/1000000000))</f>
        <v>31.836186363091411</v>
      </c>
      <c r="D14" s="125">
        <f>(1/(2*PI()*$C$3*($D$3/1000000)))*(1+(($C$3*'Valve Spec'!D3+1)/((2*($B$3+'Valve Spec'!E3))+(0.5*(Parameters!$C$3*'Valve Spec'!D3+1)))))^0.5</f>
        <v>5.1131550111987529</v>
      </c>
      <c r="E14" s="82">
        <f>('Valve Spec'!D3*(1/((1/$B$3)+(1/$G$3))))/((1/((1/$B$3)+(1/$G$3)))+'Valve Spec'!E3)</f>
        <v>17.064010450685828</v>
      </c>
      <c r="F14" s="82">
        <f>(LOG10(E14))*20</f>
        <v>24.641622168416987</v>
      </c>
      <c r="G14" s="126">
        <f>($B$3*'Valve Spec'!E3)/(Parameters!$B$3+'Valve Spec'!E3)</f>
        <v>7235.6215213358073</v>
      </c>
      <c r="H14" s="132">
        <f>'Valve Spec'!G3+(($F$3+'Valve Spec'!F3)*E14)</f>
        <v>54.698432397126062</v>
      </c>
      <c r="I14" s="83">
        <f>('Valve Spec'!D3*(1/((1/$B$3)+(1/$G$3))))/((1/((1/$B$3)+(1/$G$3)))+'Valve Spec'!E3+($C$3*('Valve Spec'!D3+1)))</f>
        <v>12.259502580947911</v>
      </c>
      <c r="J14" s="84">
        <f>(LOG10(I14))*20</f>
        <v>21.76945698809817</v>
      </c>
      <c r="K14" s="129">
        <f>($B$3*('Valve Spec'!E3+($C$3*('Valve Spec'!D3+1))))/(Parameters!$B$3+'Valve Spec'!E3+($C$3*('Valve Spec'!D3+1)))</f>
        <v>27431.059506531205</v>
      </c>
      <c r="L14" s="127">
        <f>1/((1/(($B$3+'Valve Spec'!E3)/('Valve Spec'!D3+1)))+(1/$C$3))</f>
        <v>1173.4397677793904</v>
      </c>
      <c r="M14" s="131">
        <f>'Valve Spec'!G3+(($F$3+'Valve Spec'!F3)*I14)</f>
        <v>39.804458000938524</v>
      </c>
    </row>
    <row r="15" spans="1:13" ht="17" thickTop="1" thickBot="1">
      <c r="A15" s="8" t="s">
        <v>12</v>
      </c>
      <c r="B15" s="81">
        <f>1/(2*PI()*(H15/1000000000000)*$E$3)</f>
        <v>940.52617203112391</v>
      </c>
      <c r="C15" s="81">
        <f>1/(2*PI()*(G15+$G$3)*($H$3/1000000000))</f>
        <v>27.989911528607138</v>
      </c>
      <c r="D15" s="125">
        <f>(1/(2*PI()*$C$3*($D$3/1000000)))*(1+(($C$3*'Valve Spec'!D4+1)/((2*($B$3+'Valve Spec'!E4))+(0.5*(Parameters!$C$3*'Valve Spec'!D4+1)))))^0.5</f>
        <v>5.6553288236764176</v>
      </c>
      <c r="E15" s="82">
        <f>('Valve Spec'!D4*(1/((1/$B$3)+(1/$G$3))))/((1/((1/$B$3)+(1/$G$3)))+'Valve Spec'!E4)</f>
        <v>52.38095238095238</v>
      </c>
      <c r="F15" s="82">
        <f>(LOG10(E15))*20</f>
        <v>34.383467808486117</v>
      </c>
      <c r="G15" s="126">
        <f>($B$3*'Valve Spec'!E4)/(Parameters!$B$3+'Valve Spec'!E4)</f>
        <v>38461.538461538461</v>
      </c>
      <c r="H15" s="132">
        <f>'Valve Spec'!G4+(($F$3+'Valve Spec'!F4)*E15)</f>
        <v>169.21904761904761</v>
      </c>
      <c r="I15" s="83">
        <f>('Valve Spec'!D4*(1/((1/$B$3)+(1/$G$3))))/((1/((1/$B$3)+(1/$G$3)))+'Valve Spec'!E4+($C$3*('Valve Spec'!D4+1)))</f>
        <v>24.314765694076041</v>
      </c>
      <c r="J15" s="84">
        <f>(LOG10(I15))*20</f>
        <v>27.71740177809615</v>
      </c>
      <c r="K15" s="129">
        <f>($B$3*('Valve Spec'!E4+($C$3*('Valve Spec'!D4+1))))/(Parameters!$B$3+'Valve Spec'!E4+($C$3*('Valve Spec'!D4+1)))</f>
        <v>68152.866242038217</v>
      </c>
      <c r="L15" s="127">
        <f>1/((1/(($B$3+'Valve Spec'!E4)/('Valve Spec'!D4+1)))+(1/$C$3))</f>
        <v>776.27388535031855</v>
      </c>
      <c r="M15" s="131">
        <f>'Valve Spec'!G4+(($F$3+'Valve Spec'!F4)*I15)</f>
        <v>79.407250221043327</v>
      </c>
    </row>
    <row r="16" spans="1:13" ht="17" thickTop="1" thickBot="1">
      <c r="A16" s="21" t="s">
        <v>28</v>
      </c>
      <c r="B16" s="81">
        <f>1/(2*PI()*(H16/1000000000000)*$E$3)</f>
        <v>1617.0071015470919</v>
      </c>
      <c r="C16" s="81">
        <f>1/(2*PI()*(G16+$G$3)*($H$3/1000000000))</f>
        <v>32.501859936781933</v>
      </c>
      <c r="D16" s="125">
        <f>(1/(2*PI()*$C$3*($D$3/1000000)))*(1+(($C$3*'Valve Spec'!D5+1)/((2*($B$3+'Valve Spec'!E5))+(0.5*(Parameters!$C$3*'Valve Spec'!D5+1)))))^0.5</f>
        <v>5.3164962815870043</v>
      </c>
      <c r="E16" s="82">
        <f>('Valve Spec'!D5*(1/((1/$B$3)+(1/$G$3))))/((1/((1/$B$3)+(1/$G$3)))+'Valve Spec'!E5)</f>
        <v>31.775210084033613</v>
      </c>
      <c r="F16" s="82">
        <f>(LOG10(E16))*20</f>
        <v>30.041768612080268</v>
      </c>
      <c r="G16" s="126">
        <f>($B$3*'Valve Spec'!E5)/(Parameters!$B$3+'Valve Spec'!E5)</f>
        <v>2581.5879201169023</v>
      </c>
      <c r="H16" s="132">
        <f>'Valve Spec'!G5+(($F$3+'Valve Spec'!F5)*E16)</f>
        <v>98.425630252100831</v>
      </c>
      <c r="I16" s="83">
        <f>('Valve Spec'!D5*(1/((1/$B$3)+(1/$G$3))))/((1/((1/$B$3)+(1/$G$3)))+'Valve Spec'!E5+($C$3*('Valve Spec'!D5+1)))</f>
        <v>18.535539215686274</v>
      </c>
      <c r="J16" s="84">
        <f>(LOG10(I16))*20</f>
        <v>25.360104491412905</v>
      </c>
      <c r="K16" s="129">
        <f>($B$3*('Valve Spec'!E5+($C$3*('Valve Spec'!D5+1))))/(Parameters!$B$3+'Valve Spec'!E5+($C$3*('Valve Spec'!D5+1)))</f>
        <v>34917.019199479335</v>
      </c>
      <c r="L16" s="127">
        <f>1/((1/(($B$3+'Valve Spec'!E5)/('Valve Spec'!D5+1)))+(1/$C$3))</f>
        <v>1002.115196876017</v>
      </c>
      <c r="M16" s="131">
        <f>'Valve Spec'!G5+(($F$3+'Valve Spec'!F5)*I16)</f>
        <v>58.706617647058827</v>
      </c>
    </row>
    <row r="17" spans="1:13" ht="17" thickTop="1" thickBot="1">
      <c r="A17" s="9" t="s">
        <v>13</v>
      </c>
      <c r="B17" s="85">
        <f>1/(2*PI()*(H17/1000000000000)*$E$3)</f>
        <v>1619.0736835391185</v>
      </c>
      <c r="C17" s="81">
        <f>1/(2*PI()*(G17+$G$3)*($H$3/1000000000))</f>
        <v>30.1429816461923</v>
      </c>
      <c r="D17" s="125">
        <f>(1/(2*PI()*$C$3*($D$3/1000000)))*(1+(($C$3*'Valve Spec'!D6+1)/((2*($B$3+'Valve Spec'!E6))+(0.5*(Parameters!$C$3*'Valve Spec'!D6+1)))))^0.5</f>
        <v>5.3558232611186263</v>
      </c>
      <c r="E17" s="86">
        <f>('Valve Spec'!D6*(1/((1/$B$3)+(1/$G$3))))/((1/((1/$B$3)+(1/$G$3)))+'Valve Spec'!E6)</f>
        <v>32.266666666666666</v>
      </c>
      <c r="F17" s="86">
        <f>(LOG10(E17))*20</f>
        <v>30.175082051774623</v>
      </c>
      <c r="G17" s="126">
        <f>($B$3*'Valve Spec'!E6)/(Parameters!$B$3+'Valve Spec'!E6)</f>
        <v>20000</v>
      </c>
      <c r="H17" s="132">
        <f>'Valve Spec'!G6+(($F$3+'Valve Spec'!F6)*E17)</f>
        <v>98.3</v>
      </c>
      <c r="I17" s="87">
        <f>('Valve Spec'!D6*(1/((1/$B$3)+(1/$G$3))))/((1/((1/$B$3)+(1/$G$3)))+'Valve Spec'!E6+($C$3*('Valve Spec'!D6+1)))</f>
        <v>18.759689922480622</v>
      </c>
      <c r="J17" s="84">
        <f>(LOG10(I17))*20</f>
        <v>25.464513113623646</v>
      </c>
      <c r="K17" s="130">
        <f>($B$3*('Valve Spec'!E6+($C$3*('Valve Spec'!D6+1))))/(Parameters!$B$3+'Valve Spec'!E6+($C$3*('Valve Spec'!D6+1)))</f>
        <v>48051.948051948049</v>
      </c>
      <c r="L17" s="128">
        <f>1/((1/(($B$3+'Valve Spec'!E6)/('Valve Spec'!D6+1)))+(1/$C$3))</f>
        <v>974.02597402597405</v>
      </c>
      <c r="M17" s="131">
        <f>'Valve Spec'!G6+(($F$3+'Valve Spec'!F6)*I17)</f>
        <v>57.779069767441868</v>
      </c>
    </row>
    <row r="18" spans="1:13" ht="13" thickTop="1"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4"/>
      <c r="M18" s="64"/>
    </row>
    <row r="36" spans="3:3">
      <c r="C36" s="2"/>
    </row>
  </sheetData>
  <phoneticPr fontId="1" type="noConversion"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tabColor indexed="47"/>
  </sheetPr>
  <dimension ref="A1:H7"/>
  <sheetViews>
    <sheetView showRuler="0" workbookViewId="0">
      <selection activeCell="F8" sqref="F8"/>
    </sheetView>
  </sheetViews>
  <sheetFormatPr baseColWidth="10" defaultColWidth="8.83203125" defaultRowHeight="12" x14ac:dyDescent="0"/>
  <cols>
    <col min="1" max="1" width="8.83203125" customWidth="1"/>
    <col min="2" max="2" width="9.83203125" customWidth="1"/>
    <col min="3" max="3" width="10.6640625" customWidth="1"/>
    <col min="4" max="4" width="8.5" customWidth="1"/>
    <col min="5" max="5" width="9.83203125" customWidth="1"/>
    <col min="6" max="6" width="8.83203125" customWidth="1"/>
    <col min="7" max="7" width="14.5" customWidth="1"/>
    <col min="8" max="8" width="33.1640625" customWidth="1"/>
  </cols>
  <sheetData>
    <row r="1" spans="1:8" ht="45" customHeight="1" thickTop="1" thickBot="1">
      <c r="B1" s="16" t="s">
        <v>1</v>
      </c>
      <c r="C1" s="16" t="s">
        <v>15</v>
      </c>
      <c r="D1" s="16" t="s">
        <v>8</v>
      </c>
      <c r="E1" s="16" t="s">
        <v>29</v>
      </c>
      <c r="F1" s="16" t="s">
        <v>16</v>
      </c>
      <c r="G1" s="17" t="s">
        <v>14</v>
      </c>
      <c r="H1" s="1"/>
    </row>
    <row r="2" spans="1:8" ht="39.75" customHeight="1" thickTop="1" thickBot="1">
      <c r="A2" s="16" t="s">
        <v>2</v>
      </c>
      <c r="B2" s="3">
        <v>2.5</v>
      </c>
      <c r="C2" s="3">
        <v>300</v>
      </c>
      <c r="D2" s="3">
        <v>60</v>
      </c>
      <c r="E2" s="3">
        <v>11000</v>
      </c>
      <c r="F2" s="3">
        <v>1.6</v>
      </c>
      <c r="G2" s="3">
        <v>2.2999999999999998</v>
      </c>
      <c r="H2" s="66" t="s">
        <v>38</v>
      </c>
    </row>
    <row r="3" spans="1:8" ht="14" thickTop="1" thickBot="1">
      <c r="A3" s="16" t="s">
        <v>11</v>
      </c>
      <c r="B3" s="3">
        <v>2.75</v>
      </c>
      <c r="C3" s="3">
        <v>300</v>
      </c>
      <c r="D3" s="3">
        <v>19</v>
      </c>
      <c r="E3" s="3">
        <v>7800</v>
      </c>
      <c r="F3" s="3">
        <v>1.5</v>
      </c>
      <c r="G3" s="3">
        <v>1.8</v>
      </c>
    </row>
    <row r="4" spans="1:8" ht="14" thickTop="1" thickBot="1">
      <c r="A4" s="16" t="s">
        <v>12</v>
      </c>
      <c r="B4" s="3">
        <v>1</v>
      </c>
      <c r="C4" s="3">
        <v>300</v>
      </c>
      <c r="D4" s="3">
        <v>100</v>
      </c>
      <c r="E4" s="3">
        <v>62500</v>
      </c>
      <c r="F4" s="3">
        <v>1.6</v>
      </c>
      <c r="G4" s="3">
        <v>1.6</v>
      </c>
    </row>
    <row r="5" spans="1:8" ht="14" thickTop="1" thickBot="1">
      <c r="A5" s="16" t="s">
        <v>28</v>
      </c>
      <c r="B5" s="3">
        <v>1.5</v>
      </c>
      <c r="C5" s="3">
        <v>220</v>
      </c>
      <c r="D5" s="3">
        <v>33</v>
      </c>
      <c r="E5" s="3">
        <v>2650</v>
      </c>
      <c r="F5" s="3">
        <v>1.4</v>
      </c>
      <c r="G5" s="3">
        <v>3.1</v>
      </c>
    </row>
    <row r="6" spans="1:8" ht="14" thickTop="1" thickBot="1">
      <c r="A6" s="16" t="s">
        <v>13</v>
      </c>
      <c r="B6" s="3">
        <v>1.65</v>
      </c>
      <c r="C6" s="3">
        <v>330</v>
      </c>
      <c r="D6" s="3">
        <v>44</v>
      </c>
      <c r="E6" s="3">
        <v>25000</v>
      </c>
      <c r="F6" s="3">
        <v>1.4</v>
      </c>
      <c r="G6" s="3">
        <v>1.5</v>
      </c>
    </row>
    <row r="7" spans="1:8" ht="13" thickTop="1"/>
  </sheetData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AS134"/>
  <sheetViews>
    <sheetView showRuler="0" topLeftCell="W94" workbookViewId="0">
      <selection activeCell="AU120" sqref="AU120"/>
    </sheetView>
  </sheetViews>
  <sheetFormatPr baseColWidth="10" defaultColWidth="8.83203125" defaultRowHeight="12" x14ac:dyDescent="0"/>
  <cols>
    <col min="1" max="1" width="15.1640625" customWidth="1"/>
    <col min="2" max="2" width="24.6640625" customWidth="1"/>
    <col min="3" max="3" width="8.6640625" customWidth="1"/>
    <col min="4" max="4" width="7.83203125" customWidth="1"/>
    <col min="5" max="5" width="6.83203125" customWidth="1"/>
    <col min="6" max="6" width="7.5" customWidth="1"/>
    <col min="7" max="7" width="7" customWidth="1"/>
    <col min="8" max="8" width="6.83203125" customWidth="1"/>
    <col min="9" max="9" width="7.83203125" customWidth="1"/>
    <col min="10" max="10" width="7.6640625" customWidth="1"/>
    <col min="11" max="11" width="6.5" customWidth="1"/>
    <col min="12" max="12" width="7.1640625" customWidth="1"/>
    <col min="13" max="13" width="6.5" customWidth="1"/>
    <col min="14" max="14" width="6.83203125" customWidth="1"/>
    <col min="15" max="15" width="6.5" customWidth="1"/>
    <col min="16" max="16" width="8.83203125" customWidth="1"/>
    <col min="17" max="17" width="6.6640625" customWidth="1"/>
    <col min="18" max="18" width="6.5" customWidth="1"/>
    <col min="19" max="19" width="9.83203125" customWidth="1"/>
    <col min="20" max="23" width="7.5" customWidth="1"/>
    <col min="24" max="24" width="9.33203125" customWidth="1"/>
    <col min="25" max="25" width="8.5" customWidth="1"/>
    <col min="26" max="26" width="9.33203125" customWidth="1"/>
    <col min="27" max="27" width="8.6640625" customWidth="1"/>
    <col min="28" max="28" width="7.5" customWidth="1"/>
    <col min="29" max="29" width="8.1640625" customWidth="1"/>
    <col min="30" max="33" width="7.5" customWidth="1"/>
    <col min="34" max="34" width="7.6640625" customWidth="1"/>
    <col min="35" max="36" width="8" customWidth="1"/>
    <col min="37" max="37" width="8.5" customWidth="1"/>
  </cols>
  <sheetData>
    <row r="1" spans="1:45" ht="32.25" customHeight="1">
      <c r="A1" s="14" t="s">
        <v>43</v>
      </c>
      <c r="B1" s="15"/>
      <c r="X1" s="1"/>
    </row>
    <row r="2" spans="1:45" ht="15">
      <c r="A2" s="18"/>
      <c r="B2" s="19"/>
    </row>
    <row r="3" spans="1:45" ht="15">
      <c r="A3" s="103"/>
      <c r="B3" s="104" t="s">
        <v>52</v>
      </c>
      <c r="C3" s="105">
        <v>0</v>
      </c>
      <c r="D3" s="105">
        <v>25</v>
      </c>
      <c r="E3" s="105">
        <v>50</v>
      </c>
      <c r="F3" s="105">
        <v>75</v>
      </c>
      <c r="G3" s="105">
        <v>100</v>
      </c>
      <c r="H3" s="105">
        <v>125</v>
      </c>
      <c r="I3" s="105">
        <v>150</v>
      </c>
      <c r="J3" s="105">
        <v>175</v>
      </c>
      <c r="K3" s="105">
        <v>200</v>
      </c>
      <c r="L3" s="105">
        <v>226.1</v>
      </c>
      <c r="M3" s="105">
        <v>250</v>
      </c>
      <c r="N3" s="105">
        <v>275</v>
      </c>
      <c r="O3" s="105">
        <v>300</v>
      </c>
      <c r="P3" s="105">
        <v>325</v>
      </c>
      <c r="Q3" s="105">
        <v>350</v>
      </c>
      <c r="R3" s="105">
        <v>375</v>
      </c>
      <c r="S3" s="105">
        <v>400</v>
      </c>
      <c r="T3" s="105">
        <v>425</v>
      </c>
      <c r="U3" s="105">
        <v>450</v>
      </c>
      <c r="V3" s="105">
        <v>475</v>
      </c>
      <c r="W3" s="105">
        <v>500</v>
      </c>
      <c r="X3" s="22"/>
      <c r="Y3" s="22"/>
      <c r="Z3" s="25" t="s">
        <v>60</v>
      </c>
      <c r="AA3" s="25"/>
      <c r="AB3" s="22"/>
      <c r="AC3" s="22"/>
      <c r="AD3" s="25" t="s">
        <v>54</v>
      </c>
      <c r="AE3" s="98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</row>
    <row r="4" spans="1:45" ht="15">
      <c r="A4" s="25" t="s">
        <v>2</v>
      </c>
      <c r="B4" s="26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 t="s">
        <v>57</v>
      </c>
      <c r="AA4" s="22" t="s">
        <v>58</v>
      </c>
      <c r="AB4" s="22" t="s">
        <v>59</v>
      </c>
      <c r="AC4" s="22" t="s">
        <v>53</v>
      </c>
      <c r="AD4" s="22" t="s">
        <v>55</v>
      </c>
      <c r="AE4" s="22" t="s">
        <v>56</v>
      </c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</row>
    <row r="5" spans="1:45">
      <c r="A5" s="23" t="s">
        <v>3</v>
      </c>
      <c r="B5" s="23" t="s">
        <v>0</v>
      </c>
      <c r="C5" s="22">
        <v>0</v>
      </c>
      <c r="D5" s="22">
        <v>2</v>
      </c>
      <c r="E5" s="22">
        <v>4</v>
      </c>
      <c r="F5" s="22">
        <v>6</v>
      </c>
      <c r="G5" s="22">
        <v>8.1999999999999993</v>
      </c>
      <c r="H5" s="22">
        <v>10.5</v>
      </c>
      <c r="I5" s="22">
        <v>13.2</v>
      </c>
      <c r="J5" s="22">
        <v>16</v>
      </c>
      <c r="K5" s="22">
        <v>19</v>
      </c>
      <c r="L5" s="22">
        <v>22</v>
      </c>
      <c r="M5" s="22">
        <v>25</v>
      </c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>
        <f t="array" ref="Z5:AB5">LINEST(C3:M3, C5:M5^{1;2})</f>
        <v>-0.12151384006925994</v>
      </c>
      <c r="AA5" s="22">
        <v>12.941106223764171</v>
      </c>
      <c r="AB5" s="22">
        <v>0.55385930900662217</v>
      </c>
      <c r="AC5" s="22">
        <f>AB5-AD5</f>
        <v>0.55385930900662217</v>
      </c>
      <c r="AD5" s="22">
        <f>0/Parameters!$C$3*1000</f>
        <v>0</v>
      </c>
      <c r="AE5" s="22">
        <v>0</v>
      </c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</row>
    <row r="6" spans="1:45">
      <c r="A6" s="22"/>
      <c r="B6" s="24">
        <v>-1</v>
      </c>
      <c r="C6" s="22">
        <v>0</v>
      </c>
      <c r="D6" s="22">
        <v>0.2</v>
      </c>
      <c r="E6" s="22">
        <v>1</v>
      </c>
      <c r="F6" s="22">
        <v>2</v>
      </c>
      <c r="G6" s="22">
        <v>3.3</v>
      </c>
      <c r="H6" s="22">
        <v>4.83</v>
      </c>
      <c r="I6" s="22">
        <v>6.78</v>
      </c>
      <c r="J6" s="22">
        <v>8.8699999999999992</v>
      </c>
      <c r="K6" s="22">
        <v>11.18</v>
      </c>
      <c r="L6" s="22">
        <v>14</v>
      </c>
      <c r="M6" s="22">
        <v>16.8</v>
      </c>
      <c r="N6" s="22">
        <v>19.829999999999998</v>
      </c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>
        <f t="array" ref="Z6:AB6">LINEST(C6:N6, C3:N3^{1;2})</f>
        <v>2.186755094781316E-4</v>
      </c>
      <c r="AA6" s="22">
        <v>1.2904183642115397E-2</v>
      </c>
      <c r="AB6" s="22">
        <v>-0.14839470487616602</v>
      </c>
      <c r="AC6" s="22">
        <f t="shared" ref="AC6:AC13" si="0">AB6-AD6</f>
        <v>-0.81506137154283265</v>
      </c>
      <c r="AD6" s="22">
        <f>-B6/Parameters!$C$3*1000</f>
        <v>0.66666666666666663</v>
      </c>
      <c r="AE6" s="22">
        <f t="shared" ref="AE6:AE13" si="1">(-AA6+(AA6^2-4*Z6*AC6)^0.5)/(2*Z6)</f>
        <v>38.301963231942359</v>
      </c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</row>
    <row r="7" spans="1:45">
      <c r="A7" s="22"/>
      <c r="B7" s="24">
        <v>-2</v>
      </c>
      <c r="C7" s="22"/>
      <c r="D7" s="22"/>
      <c r="E7" s="22">
        <v>0</v>
      </c>
      <c r="F7" s="22">
        <v>0.3</v>
      </c>
      <c r="G7" s="22">
        <v>0.9</v>
      </c>
      <c r="H7" s="22">
        <v>1.73</v>
      </c>
      <c r="I7" s="22">
        <v>2.83</v>
      </c>
      <c r="J7" s="22">
        <v>4.2</v>
      </c>
      <c r="K7" s="22">
        <v>5.91</v>
      </c>
      <c r="L7" s="22">
        <v>7.93</v>
      </c>
      <c r="M7" s="22">
        <v>10</v>
      </c>
      <c r="N7" s="22">
        <v>12.26</v>
      </c>
      <c r="O7" s="22">
        <v>14.6</v>
      </c>
      <c r="P7" s="22">
        <v>17</v>
      </c>
      <c r="Q7" s="22"/>
      <c r="R7" s="22"/>
      <c r="S7" s="22"/>
      <c r="T7" s="22"/>
      <c r="U7" s="22"/>
      <c r="V7" s="22"/>
      <c r="W7" s="22"/>
      <c r="X7" s="22"/>
      <c r="Y7" s="22"/>
      <c r="Z7" s="22">
        <f t="array" ref="Z7:AB7">LINEST(E7:P7, E3:P3^{1;2})</f>
        <v>1.8296510999759954E-4</v>
      </c>
      <c r="AA7" s="22">
        <v>-5.2085123605752348E-3</v>
      </c>
      <c r="AB7" s="22">
        <v>-0.35390161905114592</v>
      </c>
      <c r="AC7" s="22">
        <f t="shared" si="0"/>
        <v>-1.6872349523844792</v>
      </c>
      <c r="AD7" s="22">
        <f>-B7/Parameters!$C$3*1000</f>
        <v>1.3333333333333333</v>
      </c>
      <c r="AE7" s="22">
        <f t="shared" si="1"/>
        <v>111.3120296715546</v>
      </c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</row>
    <row r="8" spans="1:45">
      <c r="A8" s="22"/>
      <c r="B8" s="24">
        <v>-3</v>
      </c>
      <c r="C8" s="22"/>
      <c r="D8" s="22"/>
      <c r="E8" s="22"/>
      <c r="F8" s="22"/>
      <c r="G8" s="22">
        <v>0</v>
      </c>
      <c r="H8" s="22">
        <v>0.4</v>
      </c>
      <c r="I8" s="22">
        <v>0.86</v>
      </c>
      <c r="J8" s="22">
        <v>1.6</v>
      </c>
      <c r="K8" s="22">
        <v>2.66</v>
      </c>
      <c r="L8" s="22">
        <v>3.89</v>
      </c>
      <c r="M8" s="22">
        <v>5.2</v>
      </c>
      <c r="N8" s="22">
        <v>7</v>
      </c>
      <c r="O8" s="22">
        <v>8.94</v>
      </c>
      <c r="P8" s="22">
        <v>11</v>
      </c>
      <c r="Q8" s="22">
        <v>13.2</v>
      </c>
      <c r="R8" s="22"/>
      <c r="S8" s="22"/>
      <c r="T8" s="22"/>
      <c r="U8" s="22"/>
      <c r="V8" s="22"/>
      <c r="W8" s="22"/>
      <c r="X8" s="22"/>
      <c r="Y8" s="22"/>
      <c r="Z8" s="22">
        <f t="array" ref="Z8:AB8">LINEST(G8:Q8, G3:Q3^{1;2})</f>
        <v>1.7892035027936189E-4</v>
      </c>
      <c r="AA8" s="22">
        <v>-2.7430878072155954E-2</v>
      </c>
      <c r="AB8" s="22">
        <v>0.96779736217522405</v>
      </c>
      <c r="AC8" s="22">
        <f t="shared" si="0"/>
        <v>-1.0322026378247759</v>
      </c>
      <c r="AD8" s="22">
        <f>-B8/Parameters!$C$3*1000</f>
        <v>2</v>
      </c>
      <c r="AE8" s="22">
        <f t="shared" si="1"/>
        <v>184.57010256548577</v>
      </c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</row>
    <row r="9" spans="1:45">
      <c r="A9" s="22"/>
      <c r="B9" s="24">
        <v>-4</v>
      </c>
      <c r="C9" s="22"/>
      <c r="D9" s="22"/>
      <c r="E9" s="22"/>
      <c r="F9" s="22"/>
      <c r="G9" s="22"/>
      <c r="H9" s="22"/>
      <c r="I9" s="22">
        <v>0</v>
      </c>
      <c r="J9" s="22">
        <v>0.3</v>
      </c>
      <c r="K9" s="22">
        <v>0.9</v>
      </c>
      <c r="L9" s="22">
        <v>1.56</v>
      </c>
      <c r="M9" s="22">
        <v>2.5</v>
      </c>
      <c r="N9" s="22">
        <v>3.7</v>
      </c>
      <c r="O9" s="22">
        <v>5</v>
      </c>
      <c r="P9" s="22">
        <v>6.52</v>
      </c>
      <c r="Q9" s="22">
        <v>8.1</v>
      </c>
      <c r="R9" s="22">
        <v>10.1</v>
      </c>
      <c r="S9" s="22">
        <v>12</v>
      </c>
      <c r="T9" s="22"/>
      <c r="U9" s="22"/>
      <c r="V9" s="22"/>
      <c r="W9" s="22"/>
      <c r="X9" s="22"/>
      <c r="Y9" s="22"/>
      <c r="Z9" s="22">
        <f t="array" ref="Z9:AB9">LINEST(I9:R9, I3:R3^{1;2})</f>
        <v>1.5524365043862723E-4</v>
      </c>
      <c r="AA9" s="22">
        <v>-3.660019826555904E-2</v>
      </c>
      <c r="AB9" s="22">
        <v>1.9741418607292172</v>
      </c>
      <c r="AC9" s="22">
        <f t="shared" si="0"/>
        <v>-0.69252480593744936</v>
      </c>
      <c r="AD9" s="22">
        <f>-B9/Parameters!$C$3*1000</f>
        <v>2.6666666666666665</v>
      </c>
      <c r="AE9" s="22">
        <f t="shared" si="1"/>
        <v>253.36620253183736</v>
      </c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</row>
    <row r="10" spans="1:45">
      <c r="A10" s="22"/>
      <c r="B10" s="24">
        <v>-5</v>
      </c>
      <c r="C10" s="22"/>
      <c r="D10" s="22"/>
      <c r="E10" s="22"/>
      <c r="F10" s="22"/>
      <c r="G10" s="22"/>
      <c r="H10" s="22"/>
      <c r="I10" s="22"/>
      <c r="J10" s="22">
        <v>0</v>
      </c>
      <c r="K10" s="22">
        <v>0.2</v>
      </c>
      <c r="L10" s="22">
        <v>0.63</v>
      </c>
      <c r="M10" s="22">
        <v>1.1599999999999999</v>
      </c>
      <c r="N10" s="22">
        <v>1.9</v>
      </c>
      <c r="O10" s="22">
        <v>2.8</v>
      </c>
      <c r="P10" s="22">
        <v>3.86</v>
      </c>
      <c r="Q10" s="22">
        <v>5</v>
      </c>
      <c r="R10" s="22">
        <v>6.45</v>
      </c>
      <c r="S10" s="22">
        <v>7.98</v>
      </c>
      <c r="T10" s="22">
        <v>9.65</v>
      </c>
      <c r="U10" s="22">
        <v>11.5</v>
      </c>
      <c r="V10" s="22"/>
      <c r="W10" s="22"/>
      <c r="X10" s="22"/>
      <c r="Y10" s="22"/>
      <c r="Z10" s="22">
        <f t="array" ref="Z10:AB10">LINEST(J10:U10, J3:U3^{1;2})</f>
        <v>1.2978011259136247E-4</v>
      </c>
      <c r="AA10" s="22">
        <v>-3.916030844351711E-2</v>
      </c>
      <c r="AB10" s="22">
        <v>2.8562223172460133</v>
      </c>
      <c r="AC10" s="22">
        <f t="shared" si="0"/>
        <v>-0.47711101608732021</v>
      </c>
      <c r="AD10" s="22">
        <f>-B10/Parameters!$C$3*1000</f>
        <v>3.3333333333333335</v>
      </c>
      <c r="AE10" s="22">
        <f t="shared" si="1"/>
        <v>313.4712434843928</v>
      </c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</row>
    <row r="11" spans="1:45">
      <c r="A11" s="22">
        <f>((((Parameters!$G$3+((Parameters!$K$13+Parameters!$G$13)/2))^2)+((1/(2*PI()*C17*(Parameters!$H$3/1000000000)))^2))^0.5)</f>
        <v>765496.62915099808</v>
      </c>
      <c r="B11" s="24">
        <v>-6</v>
      </c>
      <c r="C11" s="22"/>
      <c r="D11" s="22"/>
      <c r="E11" s="22"/>
      <c r="F11" s="22"/>
      <c r="G11" s="22"/>
      <c r="H11" s="22"/>
      <c r="I11" s="22"/>
      <c r="J11" s="22"/>
      <c r="K11" s="22">
        <v>0</v>
      </c>
      <c r="L11" s="22">
        <v>0.1</v>
      </c>
      <c r="M11" s="22">
        <v>0.43</v>
      </c>
      <c r="N11" s="22">
        <v>0.86</v>
      </c>
      <c r="O11" s="22">
        <v>1.3</v>
      </c>
      <c r="P11" s="22">
        <v>1.9</v>
      </c>
      <c r="Q11" s="22">
        <v>2.6</v>
      </c>
      <c r="R11" s="22">
        <v>3.5</v>
      </c>
      <c r="S11" s="22">
        <v>4.5999999999999996</v>
      </c>
      <c r="T11" s="22">
        <v>5.95</v>
      </c>
      <c r="U11" s="22">
        <v>7.36</v>
      </c>
      <c r="V11" s="22">
        <v>9</v>
      </c>
      <c r="W11" s="22">
        <v>10.5</v>
      </c>
      <c r="X11" s="22"/>
      <c r="Y11" s="22"/>
      <c r="Z11" s="22">
        <f t="array" ref="Z11:AB11">LINEST(K11:W11, K3:W3^{1;2})</f>
        <v>1.1747043919326776E-4</v>
      </c>
      <c r="AA11" s="22">
        <v>-4.7346072837308559E-2</v>
      </c>
      <c r="AB11" s="22">
        <v>4.852652708440754</v>
      </c>
      <c r="AC11" s="22">
        <f t="shared" si="0"/>
        <v>0.85265270844075403</v>
      </c>
      <c r="AD11" s="22">
        <f>-B11/Parameters!$C$3*1000</f>
        <v>4</v>
      </c>
      <c r="AE11" s="22">
        <f t="shared" si="1"/>
        <v>384.15197760846291</v>
      </c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</row>
    <row r="12" spans="1:45">
      <c r="A12" s="22"/>
      <c r="B12" s="24">
        <v>-7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>
        <v>0</v>
      </c>
      <c r="N12" s="22">
        <v>0.2</v>
      </c>
      <c r="O12" s="22">
        <v>0.5</v>
      </c>
      <c r="P12" s="22">
        <v>0.86</v>
      </c>
      <c r="Q12" s="22">
        <v>1.37</v>
      </c>
      <c r="R12" s="22">
        <v>2</v>
      </c>
      <c r="S12" s="22">
        <v>2.73</v>
      </c>
      <c r="T12" s="22">
        <v>3.63</v>
      </c>
      <c r="U12" s="22">
        <v>4.62</v>
      </c>
      <c r="V12" s="22">
        <v>5.89</v>
      </c>
      <c r="W12" s="22">
        <v>7.18</v>
      </c>
      <c r="X12" s="22"/>
      <c r="Y12" s="22"/>
      <c r="Z12" s="22">
        <f t="array" ref="Z12:AB12">LINEST(M12:W12, M3:W3^{1;2})</f>
        <v>1.0308624708624711E-4</v>
      </c>
      <c r="AA12" s="22">
        <v>-4.8980139860139896E-2</v>
      </c>
      <c r="AB12" s="22">
        <v>5.8613053613053712</v>
      </c>
      <c r="AC12" s="22">
        <f t="shared" si="0"/>
        <v>1.1946386946387042</v>
      </c>
      <c r="AD12" s="22">
        <f>-B12/Parameters!$C$3*1000</f>
        <v>4.666666666666667</v>
      </c>
      <c r="AE12" s="22">
        <f t="shared" si="1"/>
        <v>449.34734369324877</v>
      </c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</row>
    <row r="13" spans="1:45">
      <c r="A13" s="22"/>
      <c r="B13" s="24">
        <v>-8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>
        <v>0</v>
      </c>
      <c r="O13" s="22">
        <v>0.1</v>
      </c>
      <c r="P13" s="22">
        <v>0.4</v>
      </c>
      <c r="Q13" s="22">
        <v>0.7</v>
      </c>
      <c r="R13" s="22">
        <v>1.1000000000000001</v>
      </c>
      <c r="S13" s="22">
        <v>1.6</v>
      </c>
      <c r="T13" s="22">
        <v>2.13</v>
      </c>
      <c r="U13" s="22">
        <v>2.96</v>
      </c>
      <c r="V13" s="22">
        <v>3.86</v>
      </c>
      <c r="W13" s="22">
        <v>5</v>
      </c>
      <c r="X13" s="22"/>
      <c r="Y13" s="22"/>
      <c r="Z13" s="22">
        <f t="array" ref="Z13:AB13">LINEST(O13:W13, O3:W3^{1;2})</f>
        <v>9.7714285714285462E-5</v>
      </c>
      <c r="AA13" s="22">
        <v>-5.4484761904761675E-2</v>
      </c>
      <c r="AB13" s="22">
        <v>7.7358095238094755</v>
      </c>
      <c r="AC13" s="22">
        <f t="shared" si="0"/>
        <v>2.4024761904761425</v>
      </c>
      <c r="AD13" s="22">
        <f>-B13/Parameters!$C$3*1000</f>
        <v>5.333333333333333</v>
      </c>
      <c r="AE13" s="22">
        <f t="shared" si="1"/>
        <v>509.31881187591591</v>
      </c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</row>
    <row r="14" spans="1:4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</row>
    <row r="15" spans="1:45">
      <c r="A15" s="22"/>
      <c r="B15" s="24" t="s">
        <v>17</v>
      </c>
      <c r="C15" s="22" t="s">
        <v>22</v>
      </c>
      <c r="D15" s="22">
        <f>('Valve Spec'!$B$2/'Graph Data'!D3)*1000</f>
        <v>100</v>
      </c>
      <c r="E15" s="22">
        <f>('Valve Spec'!$B$2/'Graph Data'!E3)*1000</f>
        <v>50</v>
      </c>
      <c r="F15" s="22">
        <f>('Valve Spec'!$B$2/'Graph Data'!F3)*1000</f>
        <v>33.333333333333336</v>
      </c>
      <c r="G15" s="22">
        <f>('Valve Spec'!$B$2/'Graph Data'!G3)*1000</f>
        <v>25</v>
      </c>
      <c r="H15" s="22">
        <f>('Valve Spec'!$B$2/'Graph Data'!H3)*1000</f>
        <v>20</v>
      </c>
      <c r="I15" s="22">
        <f>('Valve Spec'!$B$2/'Graph Data'!I3)*1000</f>
        <v>16.666666666666668</v>
      </c>
      <c r="J15" s="22">
        <f>('Valve Spec'!$B$2/'Graph Data'!J3)*1000</f>
        <v>14.285714285714285</v>
      </c>
      <c r="K15" s="22">
        <f>('Valve Spec'!$B$2/'Graph Data'!K3)*1000</f>
        <v>12.5</v>
      </c>
      <c r="L15" s="22">
        <f>('Valve Spec'!$B$2/'Graph Data'!L3)*1000</f>
        <v>11.057054400707651</v>
      </c>
      <c r="M15" s="22">
        <f>('Valve Spec'!$B$2/'Graph Data'!M3)*1000</f>
        <v>10</v>
      </c>
      <c r="N15" s="22">
        <f>('Valve Spec'!$B$2/'Graph Data'!N3)*1000</f>
        <v>9.0909090909090899</v>
      </c>
      <c r="O15" s="22">
        <f>('Valve Spec'!$B$2/'Graph Data'!O3)*1000</f>
        <v>8.3333333333333339</v>
      </c>
      <c r="P15" s="22">
        <f>('Valve Spec'!$B$2/'Graph Data'!P3)*1000</f>
        <v>7.6923076923076925</v>
      </c>
      <c r="Q15" s="22">
        <f>('Valve Spec'!$B$2/'Graph Data'!Q3)*1000</f>
        <v>7.1428571428571423</v>
      </c>
      <c r="R15" s="22">
        <f>('Valve Spec'!$B$2/'Graph Data'!R3)*1000</f>
        <v>6.666666666666667</v>
      </c>
      <c r="S15" s="22">
        <f>('Valve Spec'!$B$2/'Graph Data'!S3)*1000</f>
        <v>6.25</v>
      </c>
      <c r="T15" s="22">
        <f>('Valve Spec'!$B$2/'Graph Data'!T3)*1000</f>
        <v>5.8823529411764701</v>
      </c>
      <c r="U15" s="22">
        <f>('Valve Spec'!$B$2/'Graph Data'!U3)*1000</f>
        <v>5.5555555555555554</v>
      </c>
      <c r="V15" s="22">
        <f>('Valve Spec'!$B$2/'Graph Data'!V3)*1000</f>
        <v>5.2631578947368416</v>
      </c>
      <c r="W15" s="22">
        <f>('Valve Spec'!$B$2/'Graph Data'!W3)*1000</f>
        <v>5</v>
      </c>
      <c r="X15" s="22"/>
      <c r="Y15" s="22"/>
      <c r="Z15" s="22"/>
      <c r="AA15" s="22"/>
      <c r="AB15" s="27"/>
      <c r="AC15" s="27"/>
      <c r="AD15" s="27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</row>
    <row r="16" spans="1:45" ht="13" thickBot="1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7"/>
      <c r="AC16" s="28"/>
      <c r="AD16" s="27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</row>
    <row r="17" spans="1:45" ht="14" thickTop="1" thickBot="1">
      <c r="A17" s="22"/>
      <c r="B17" s="29" t="s">
        <v>21</v>
      </c>
      <c r="C17" s="30">
        <v>10</v>
      </c>
      <c r="D17" s="30">
        <f>C17*1.18</f>
        <v>11.799999999999999</v>
      </c>
      <c r="E17" s="30">
        <f t="shared" ref="E17:AR17" si="2">D17*1.18</f>
        <v>13.923999999999998</v>
      </c>
      <c r="F17" s="30">
        <f t="shared" si="2"/>
        <v>16.430319999999995</v>
      </c>
      <c r="G17" s="30">
        <f t="shared" si="2"/>
        <v>19.387777599999993</v>
      </c>
      <c r="H17" s="30">
        <f t="shared" si="2"/>
        <v>22.877577567999989</v>
      </c>
      <c r="I17" s="30">
        <f t="shared" si="2"/>
        <v>26.995541530239986</v>
      </c>
      <c r="J17" s="30">
        <f t="shared" si="2"/>
        <v>31.854739005683182</v>
      </c>
      <c r="K17" s="30">
        <f t="shared" si="2"/>
        <v>37.588592026706152</v>
      </c>
      <c r="L17" s="30">
        <f t="shared" si="2"/>
        <v>44.354538591513254</v>
      </c>
      <c r="M17" s="30">
        <f t="shared" si="2"/>
        <v>52.338355537985635</v>
      </c>
      <c r="N17" s="30">
        <f t="shared" si="2"/>
        <v>61.759259534823045</v>
      </c>
      <c r="O17" s="30">
        <f t="shared" si="2"/>
        <v>72.875926251091187</v>
      </c>
      <c r="P17" s="30">
        <f t="shared" si="2"/>
        <v>85.993592976287601</v>
      </c>
      <c r="Q17" s="30">
        <f t="shared" si="2"/>
        <v>101.47243971201937</v>
      </c>
      <c r="R17" s="30">
        <f t="shared" si="2"/>
        <v>119.73747886018285</v>
      </c>
      <c r="S17" s="30">
        <f t="shared" si="2"/>
        <v>141.29022505501575</v>
      </c>
      <c r="T17" s="30">
        <f t="shared" si="2"/>
        <v>166.72246556491859</v>
      </c>
      <c r="U17" s="30">
        <f t="shared" si="2"/>
        <v>196.73250936660392</v>
      </c>
      <c r="V17" s="30">
        <f t="shared" si="2"/>
        <v>232.14436105259261</v>
      </c>
      <c r="W17" s="30">
        <f t="shared" si="2"/>
        <v>273.93034604205928</v>
      </c>
      <c r="X17" s="30">
        <f t="shared" si="2"/>
        <v>323.23780832962996</v>
      </c>
      <c r="Y17" s="30">
        <f t="shared" si="2"/>
        <v>381.42061382896333</v>
      </c>
      <c r="Z17" s="30">
        <f t="shared" si="2"/>
        <v>450.07632431817672</v>
      </c>
      <c r="AA17" s="30">
        <f t="shared" si="2"/>
        <v>531.09006269544852</v>
      </c>
      <c r="AB17" s="30">
        <f t="shared" si="2"/>
        <v>626.68627398062927</v>
      </c>
      <c r="AC17" s="30">
        <f t="shared" si="2"/>
        <v>739.48980329714254</v>
      </c>
      <c r="AD17" s="30">
        <f t="shared" si="2"/>
        <v>872.59796789062818</v>
      </c>
      <c r="AE17" s="30">
        <f t="shared" si="2"/>
        <v>1029.6656021109411</v>
      </c>
      <c r="AF17" s="30">
        <f t="shared" si="2"/>
        <v>1215.0054104909104</v>
      </c>
      <c r="AG17" s="30">
        <f t="shared" si="2"/>
        <v>1433.7063843792741</v>
      </c>
      <c r="AH17" s="30">
        <f t="shared" si="2"/>
        <v>1691.7735335675434</v>
      </c>
      <c r="AI17" s="30">
        <f t="shared" si="2"/>
        <v>1996.2927696097011</v>
      </c>
      <c r="AJ17" s="30">
        <f t="shared" si="2"/>
        <v>2355.6254681394471</v>
      </c>
      <c r="AK17" s="30">
        <f t="shared" si="2"/>
        <v>2779.6380524045476</v>
      </c>
      <c r="AL17" s="30">
        <f t="shared" si="2"/>
        <v>3279.972901837366</v>
      </c>
      <c r="AM17" s="30">
        <f t="shared" si="2"/>
        <v>3870.3680241680918</v>
      </c>
      <c r="AN17" s="30">
        <f t="shared" si="2"/>
        <v>4567.0342685183477</v>
      </c>
      <c r="AO17" s="30">
        <f t="shared" si="2"/>
        <v>5389.1004368516496</v>
      </c>
      <c r="AP17" s="30">
        <f t="shared" si="2"/>
        <v>6359.1385154849459</v>
      </c>
      <c r="AQ17" s="30">
        <f t="shared" si="2"/>
        <v>7503.7834482722355</v>
      </c>
      <c r="AR17" s="30">
        <f t="shared" si="2"/>
        <v>8854.4644689612378</v>
      </c>
      <c r="AS17" s="30">
        <v>10000</v>
      </c>
    </row>
    <row r="18" spans="1:45" ht="42" customHeight="1" thickTop="1" thickBot="1">
      <c r="A18" s="63" t="s">
        <v>34</v>
      </c>
      <c r="B18" s="29" t="s">
        <v>32</v>
      </c>
      <c r="C18" s="30">
        <f>1+((2*PI()*C17*(Parameters!$D$3/1000000)*Parameters!$C$3)^2)</f>
        <v>5.2991996771145251</v>
      </c>
      <c r="D18" s="30">
        <f>1+((2*PI()*D17*(Parameters!$D$3/1000000)*Parameters!$C$3)^2)</f>
        <v>6.9862056304142612</v>
      </c>
      <c r="E18" s="30">
        <f>1+((2*PI()*E17*(Parameters!$D$3/1000000)*Parameters!$C$3)^2)</f>
        <v>9.335192719788818</v>
      </c>
      <c r="F18" s="30">
        <f>1+((2*PI()*F17*(Parameters!$D$3/1000000)*Parameters!$C$3)^2)</f>
        <v>12.605922343033949</v>
      </c>
      <c r="G18" s="30">
        <f>1+((2*PI()*G17*(Parameters!$D$3/1000000)*Parameters!$C$3)^2)</f>
        <v>17.160086270440466</v>
      </c>
      <c r="H18" s="30">
        <f>1+((2*PI()*H17*(Parameters!$D$3/1000000)*Parameters!$C$3)^2)</f>
        <v>23.501304122961301</v>
      </c>
      <c r="I18" s="30">
        <f>1+((2*PI()*I17*(Parameters!$D$3/1000000)*Parameters!$C$3)^2)</f>
        <v>32.330815860811306</v>
      </c>
      <c r="J18" s="30">
        <f>1+((2*PI()*J17*(Parameters!$D$3/1000000)*Parameters!$C$3)^2)</f>
        <v>44.625028004593673</v>
      </c>
      <c r="K18" s="30">
        <f>1+((2*PI()*K17*(Parameters!$D$3/1000000)*Parameters!$C$3)^2)</f>
        <v>61.743488993596216</v>
      </c>
      <c r="L18" s="30">
        <f>1+((2*PI()*L17*(Parameters!$D$3/1000000)*Parameters!$C$3)^2)</f>
        <v>85.57923407468337</v>
      </c>
      <c r="M18" s="30">
        <f>1+((2*PI()*M17*(Parameters!$D$3/1000000)*Parameters!$C$3)^2)</f>
        <v>118.76812552558904</v>
      </c>
      <c r="N18" s="30">
        <f>1+((2*PI()*N17*(Parameters!$D$3/1000000)*Parameters!$C$3)^2)</f>
        <v>164.98033798183019</v>
      </c>
      <c r="O18" s="30">
        <f>1+((2*PI()*O17*(Parameters!$D$3/1000000)*Parameters!$C$3)^2)</f>
        <v>229.32622260590031</v>
      </c>
      <c r="P18" s="30">
        <f>1+((2*PI()*P17*(Parameters!$D$3/1000000)*Parameters!$C$3)^2)</f>
        <v>318.92143235645563</v>
      </c>
      <c r="Q18" s="30">
        <f>1+((2*PI()*Q17*(Parameters!$D$3/1000000)*Parameters!$C$3)^2)</f>
        <v>443.67380241312867</v>
      </c>
      <c r="R18" s="30">
        <f>1+((2*PI()*R17*(Parameters!$D$3/1000000)*Parameters!$C$3)^2)</f>
        <v>617.37900248004019</v>
      </c>
      <c r="S18" s="30">
        <f>1+((2*PI()*S17*(Parameters!$D$3/1000000)*Parameters!$C$3)^2)</f>
        <v>859.24612305320841</v>
      </c>
      <c r="T18" s="30">
        <f>1+((2*PI()*T17*(Parameters!$D$3/1000000)*Parameters!$C$3)^2)</f>
        <v>1196.0219017392872</v>
      </c>
      <c r="U18" s="30">
        <f>1+((2*PI()*U17*(Parameters!$D$3/1000000)*Parameters!$C$3)^2)</f>
        <v>1664.948495981783</v>
      </c>
      <c r="V18" s="30">
        <f>1+((2*PI()*V17*(Parameters!$D$3/1000000)*Parameters!$C$3)^2)</f>
        <v>2317.8818858050349</v>
      </c>
      <c r="W18" s="30">
        <f>1+((2*PI()*W17*(Parameters!$D$3/1000000)*Parameters!$C$3)^2)</f>
        <v>3227.0263377949309</v>
      </c>
      <c r="X18" s="30">
        <f>1+((2*PI()*X17*(Parameters!$D$3/1000000)*Parameters!$C$3)^2)</f>
        <v>4492.9190727456598</v>
      </c>
      <c r="Y18" s="30">
        <f>1+((2*PI()*Y17*(Parameters!$D$3/1000000)*Parameters!$C$3)^2)</f>
        <v>6255.5481168910574</v>
      </c>
      <c r="Z18" s="30">
        <f>1+((2*PI()*Z17*(Parameters!$D$3/1000000)*Parameters!$C$3)^2)</f>
        <v>8709.8327979591068</v>
      </c>
      <c r="AA18" s="30">
        <f>1+((2*PI()*AA17*(Parameters!$D$3/1000000)*Parameters!$C$3)^2)</f>
        <v>12127.17878787826</v>
      </c>
      <c r="AB18" s="30">
        <f>1+((2*PI()*AB17*(Parameters!$D$3/1000000)*Parameters!$C$3)^2)</f>
        <v>16885.491344241695</v>
      </c>
      <c r="AC18" s="30">
        <f>1+((2*PI()*AC17*(Parameters!$D$3/1000000)*Parameters!$C$3)^2)</f>
        <v>23510.965747722134</v>
      </c>
      <c r="AD18" s="30">
        <f>1+((2*PI()*AD17*(Parameters!$D$3/1000000)*Parameters!$C$3)^2)</f>
        <v>32736.27630712829</v>
      </c>
      <c r="AE18" s="30">
        <f>1+((2*PI()*AE17*(Parameters!$D$3/1000000)*Parameters!$C$3)^2)</f>
        <v>45581.598730045422</v>
      </c>
      <c r="AF18" s="30">
        <f>1+((2*PI()*AF17*(Parameters!$D$3/1000000)*Parameters!$C$3)^2)</f>
        <v>63467.425671715253</v>
      </c>
      <c r="AG18" s="30">
        <f>1+((2*PI()*AG17*(Parameters!$D$3/1000000)*Parameters!$C$3)^2)</f>
        <v>88371.651105296289</v>
      </c>
      <c r="AH18" s="30">
        <f>1+((2*PI()*AH17*(Parameters!$D$3/1000000)*Parameters!$C$3)^2)</f>
        <v>123048.29459901452</v>
      </c>
      <c r="AI18" s="30">
        <f>1+((2*PI()*AI17*(Parameters!$D$3/1000000)*Parameters!$C$3)^2)</f>
        <v>171332.05299966782</v>
      </c>
      <c r="AJ18" s="30">
        <f>1+((2*PI()*AJ17*(Parameters!$D$3/1000000)*Parameters!$C$3)^2)</f>
        <v>238562.35819673745</v>
      </c>
      <c r="AK18" s="30">
        <f>1+((2*PI()*AK17*(Parameters!$D$3/1000000)*Parameters!$C$3)^2)</f>
        <v>332173.83515313722</v>
      </c>
      <c r="AL18" s="30">
        <f>1+((2*PI()*AL17*(Parameters!$D$3/1000000)*Parameters!$C$3)^2)</f>
        <v>462518.45566722821</v>
      </c>
      <c r="AM18" s="30">
        <f>1+((2*PI()*AM17*(Parameters!$D$3/1000000)*Parameters!$C$3)^2)</f>
        <v>644010.30527104856</v>
      </c>
      <c r="AN18" s="30">
        <f>1+((2*PI()*AN17*(Parameters!$D$3/1000000)*Parameters!$C$3)^2)</f>
        <v>896719.55665940756</v>
      </c>
      <c r="AO18" s="30">
        <f>1+((2*PI()*AO17*(Parameters!$D$3/1000000)*Parameters!$C$3)^2)</f>
        <v>1248591.918292559</v>
      </c>
      <c r="AP18" s="30">
        <f>1+((2*PI()*AP17*(Parameters!$D$3/1000000)*Parameters!$C$3)^2)</f>
        <v>1738538.9946305586</v>
      </c>
      <c r="AQ18" s="30">
        <f>1+((2*PI()*AQ17*(Parameters!$D$3/1000000)*Parameters!$C$3)^2)</f>
        <v>2420741.3037235891</v>
      </c>
      <c r="AR18" s="30">
        <f>1+((2*PI()*AR17*(Parameters!$D$3/1000000)*Parameters!$C$3)^2)</f>
        <v>3370639.7989047267</v>
      </c>
      <c r="AS18" s="30">
        <f>1+((2*PI()*AS17*(Parameters!$D$3/1000000)*Parameters!$C$3)^2)</f>
        <v>4299200.677114523</v>
      </c>
    </row>
    <row r="19" spans="1:45" ht="19.5" customHeight="1" thickTop="1" thickBot="1">
      <c r="A19" s="22"/>
      <c r="B19" s="29" t="s">
        <v>31</v>
      </c>
      <c r="C19" s="30">
        <f>(1+((('Valve Spec'!$D$2+1)*Parameters!$C$3)/('Valve Spec'!$E$2+(1/((1/Parameters!$B$3)+(1/Parameters!$G$3))))))^2</f>
        <v>4.6110494197187526</v>
      </c>
      <c r="D19" s="30">
        <f>(1+((('Valve Spec'!$D$2+1)*Parameters!$C$3)/('Valve Spec'!$E$2+(1/((1/Parameters!$B$3)+(1/Parameters!$G$3))))))^2</f>
        <v>4.6110494197187526</v>
      </c>
      <c r="E19" s="30">
        <f>(1+((('Valve Spec'!$D$2+1)*Parameters!$C$3)/('Valve Spec'!$E$2+(1/((1/Parameters!$B$3)+(1/Parameters!$G$3))))))^2</f>
        <v>4.6110494197187526</v>
      </c>
      <c r="F19" s="30">
        <f>(1+((('Valve Spec'!$D$2+1)*Parameters!$C$3)/('Valve Spec'!$E$2+(1/((1/Parameters!$B$3)+(1/Parameters!$G$3))))))^2</f>
        <v>4.6110494197187526</v>
      </c>
      <c r="G19" s="30">
        <f>(1+((('Valve Spec'!$D$2+1)*Parameters!$C$3)/('Valve Spec'!$E$2+(1/((1/Parameters!$B$3)+(1/Parameters!$G$3))))))^2</f>
        <v>4.6110494197187526</v>
      </c>
      <c r="H19" s="30">
        <f>(1+((('Valve Spec'!$D$2+1)*Parameters!$C$3)/('Valve Spec'!$E$2+(1/((1/Parameters!$B$3)+(1/Parameters!$G$3))))))^2</f>
        <v>4.6110494197187526</v>
      </c>
      <c r="I19" s="30">
        <f>(1+((('Valve Spec'!$D$2+1)*Parameters!$C$3)/('Valve Spec'!$E$2+(1/((1/Parameters!$B$3)+(1/Parameters!$G$3))))))^2</f>
        <v>4.6110494197187526</v>
      </c>
      <c r="J19" s="30">
        <f>(1+((('Valve Spec'!$D$2+1)*Parameters!$C$3)/('Valve Spec'!$E$2+(1/((1/Parameters!$B$3)+(1/Parameters!$G$3))))))^2</f>
        <v>4.6110494197187526</v>
      </c>
      <c r="K19" s="30">
        <f>(1+((('Valve Spec'!$D$2+1)*Parameters!$C$3)/('Valve Spec'!$E$2+(1/((1/Parameters!$B$3)+(1/Parameters!$G$3))))))^2</f>
        <v>4.6110494197187526</v>
      </c>
      <c r="L19" s="30">
        <f>(1+((('Valve Spec'!$D$2+1)*Parameters!$C$3)/('Valve Spec'!$E$2+(1/((1/Parameters!$B$3)+(1/Parameters!$G$3))))))^2</f>
        <v>4.6110494197187526</v>
      </c>
      <c r="M19" s="30">
        <f>(1+((('Valve Spec'!$D$2+1)*Parameters!$C$3)/('Valve Spec'!$E$2+(1/((1/Parameters!$B$3)+(1/Parameters!$G$3))))))^2</f>
        <v>4.6110494197187526</v>
      </c>
      <c r="N19" s="30">
        <f>(1+((('Valve Spec'!$D$2+1)*Parameters!$C$3)/('Valve Spec'!$E$2+(1/((1/Parameters!$B$3)+(1/Parameters!$G$3))))))^2</f>
        <v>4.6110494197187526</v>
      </c>
      <c r="O19" s="30">
        <f>(1+((('Valve Spec'!$D$2+1)*Parameters!$C$3)/('Valve Spec'!$E$2+(1/((1/Parameters!$B$3)+(1/Parameters!$G$3))))))^2</f>
        <v>4.6110494197187526</v>
      </c>
      <c r="P19" s="30">
        <f>(1+((('Valve Spec'!$D$2+1)*Parameters!$C$3)/('Valve Spec'!$E$2+(1/((1/Parameters!$B$3)+(1/Parameters!$G$3))))))^2</f>
        <v>4.6110494197187526</v>
      </c>
      <c r="Q19" s="30">
        <f>(1+((('Valve Spec'!$D$2+1)*Parameters!$C$3)/('Valve Spec'!$E$2+(1/((1/Parameters!$B$3)+(1/Parameters!$G$3))))))^2</f>
        <v>4.6110494197187526</v>
      </c>
      <c r="R19" s="30">
        <f>(1+((('Valve Spec'!$D$2+1)*Parameters!$C$3)/('Valve Spec'!$E$2+(1/((1/Parameters!$B$3)+(1/Parameters!$G$3))))))^2</f>
        <v>4.6110494197187526</v>
      </c>
      <c r="S19" s="30">
        <f>(1+((('Valve Spec'!$D$2+1)*Parameters!$C$3)/('Valve Spec'!$E$2+(1/((1/Parameters!$B$3)+(1/Parameters!$G$3))))))^2</f>
        <v>4.6110494197187526</v>
      </c>
      <c r="T19" s="30">
        <f>(1+((('Valve Spec'!$D$2+1)*Parameters!$C$3)/('Valve Spec'!$E$2+(1/((1/Parameters!$B$3)+(1/Parameters!$G$3))))))^2</f>
        <v>4.6110494197187526</v>
      </c>
      <c r="U19" s="30">
        <f>(1+((('Valve Spec'!$D$2+1)*Parameters!$C$3)/('Valve Spec'!$E$2+(1/((1/Parameters!$B$3)+(1/Parameters!$G$3))))))^2</f>
        <v>4.6110494197187526</v>
      </c>
      <c r="V19" s="30">
        <f>(1+((('Valve Spec'!$D$2+1)*Parameters!$C$3)/('Valve Spec'!$E$2+(1/((1/Parameters!$B$3)+(1/Parameters!$G$3))))))^2</f>
        <v>4.6110494197187526</v>
      </c>
      <c r="W19" s="30">
        <f>(1+((('Valve Spec'!$D$2+1)*Parameters!$C$3)/('Valve Spec'!$E$2+(1/((1/Parameters!$B$3)+(1/Parameters!$G$3))))))^2</f>
        <v>4.6110494197187526</v>
      </c>
      <c r="X19" s="30">
        <f>(1+((('Valve Spec'!$D$2+1)*Parameters!$C$3)/('Valve Spec'!$E$2+(1/((1/Parameters!$B$3)+(1/Parameters!$G$3))))))^2</f>
        <v>4.6110494197187526</v>
      </c>
      <c r="Y19" s="30">
        <f>(1+((('Valve Spec'!$D$2+1)*Parameters!$C$3)/('Valve Spec'!$E$2+(1/((1/Parameters!$B$3)+(1/Parameters!$G$3))))))^2</f>
        <v>4.6110494197187526</v>
      </c>
      <c r="Z19" s="30">
        <f>(1+((('Valve Spec'!$D$2+1)*Parameters!$C$3)/('Valve Spec'!$E$2+(1/((1/Parameters!$B$3)+(1/Parameters!$G$3))))))^2</f>
        <v>4.6110494197187526</v>
      </c>
      <c r="AA19" s="30">
        <f>(1+((('Valve Spec'!$D$2+1)*Parameters!$C$3)/('Valve Spec'!$E$2+(1/((1/Parameters!$B$3)+(1/Parameters!$G$3))))))^2</f>
        <v>4.6110494197187526</v>
      </c>
      <c r="AB19" s="30">
        <f>(1+((('Valve Spec'!$D$2+1)*Parameters!$C$3)/('Valve Spec'!$E$2+(1/((1/Parameters!$B$3)+(1/Parameters!$G$3))))))^2</f>
        <v>4.6110494197187526</v>
      </c>
      <c r="AC19" s="30">
        <f>(1+((('Valve Spec'!$D$2+1)*Parameters!$C$3)/('Valve Spec'!$E$2+(1/((1/Parameters!$B$3)+(1/Parameters!$G$3))))))^2</f>
        <v>4.6110494197187526</v>
      </c>
      <c r="AD19" s="30">
        <f>(1+((('Valve Spec'!$D$2+1)*Parameters!$C$3)/('Valve Spec'!$E$2+(1/((1/Parameters!$B$3)+(1/Parameters!$G$3))))))^2</f>
        <v>4.6110494197187526</v>
      </c>
      <c r="AE19" s="30">
        <f>(1+((('Valve Spec'!$D$2+1)*Parameters!$C$3)/('Valve Spec'!$E$2+(1/((1/Parameters!$B$3)+(1/Parameters!$G$3))))))^2</f>
        <v>4.6110494197187526</v>
      </c>
      <c r="AF19" s="30">
        <f>(1+((('Valve Spec'!$D$2+1)*Parameters!$C$3)/('Valve Spec'!$E$2+(1/((1/Parameters!$B$3)+(1/Parameters!$G$3))))))^2</f>
        <v>4.6110494197187526</v>
      </c>
      <c r="AG19" s="30">
        <f>(1+((('Valve Spec'!$D$2+1)*Parameters!$C$3)/('Valve Spec'!$E$2+(1/((1/Parameters!$B$3)+(1/Parameters!$G$3))))))^2</f>
        <v>4.6110494197187526</v>
      </c>
      <c r="AH19" s="30">
        <f>(1+((('Valve Spec'!$D$2+1)*Parameters!$C$3)/('Valve Spec'!$E$2+(1/((1/Parameters!$B$3)+(1/Parameters!$G$3))))))^2</f>
        <v>4.6110494197187526</v>
      </c>
      <c r="AI19" s="30">
        <f>(1+((('Valve Spec'!$D$2+1)*Parameters!$C$3)/('Valve Spec'!$E$2+(1/((1/Parameters!$B$3)+(1/Parameters!$G$3))))))^2</f>
        <v>4.6110494197187526</v>
      </c>
      <c r="AJ19" s="30">
        <f>(1+((('Valve Spec'!$D$2+1)*Parameters!$C$3)/('Valve Spec'!$E$2+(1/((1/Parameters!$B$3)+(1/Parameters!$G$3))))))^2</f>
        <v>4.6110494197187526</v>
      </c>
      <c r="AK19" s="30">
        <f>(1+((('Valve Spec'!$D$2+1)*Parameters!$C$3)/('Valve Spec'!$E$2+(1/((1/Parameters!$B$3)+(1/Parameters!$G$3))))))^2</f>
        <v>4.6110494197187526</v>
      </c>
      <c r="AL19" s="30">
        <f>(1+((('Valve Spec'!$D$2+1)*Parameters!$C$3)/('Valve Spec'!$E$2+(1/((1/Parameters!$B$3)+(1/Parameters!$G$3))))))^2</f>
        <v>4.6110494197187526</v>
      </c>
      <c r="AM19" s="30">
        <f>(1+((('Valve Spec'!$D$2+1)*Parameters!$C$3)/('Valve Spec'!$E$2+(1/((1/Parameters!$B$3)+(1/Parameters!$G$3))))))^2</f>
        <v>4.6110494197187526</v>
      </c>
      <c r="AN19" s="30">
        <f>(1+((('Valve Spec'!$D$2+1)*Parameters!$C$3)/('Valve Spec'!$E$2+(1/((1/Parameters!$B$3)+(1/Parameters!$G$3))))))^2</f>
        <v>4.6110494197187526</v>
      </c>
      <c r="AO19" s="30">
        <f>(1+((('Valve Spec'!$D$2+1)*Parameters!$C$3)/('Valve Spec'!$E$2+(1/((1/Parameters!$B$3)+(1/Parameters!$G$3))))))^2</f>
        <v>4.6110494197187526</v>
      </c>
      <c r="AP19" s="30">
        <f>(1+((('Valve Spec'!$D$2+1)*Parameters!$C$3)/('Valve Spec'!$E$2+(1/((1/Parameters!$B$3)+(1/Parameters!$G$3))))))^2</f>
        <v>4.6110494197187526</v>
      </c>
      <c r="AQ19" s="30">
        <f>(1+((('Valve Spec'!$D$2+1)*Parameters!$C$3)/('Valve Spec'!$E$2+(1/((1/Parameters!$B$3)+(1/Parameters!$G$3))))))^2</f>
        <v>4.6110494197187526</v>
      </c>
      <c r="AR19" s="30">
        <f>(1+((('Valve Spec'!$D$2+1)*Parameters!$C$3)/('Valve Spec'!$E$2+(1/((1/Parameters!$B$3)+(1/Parameters!$G$3))))))^2</f>
        <v>4.6110494197187526</v>
      </c>
      <c r="AS19" s="30">
        <f>(1+((('Valve Spec'!$D$2+1)*Parameters!$C$3)/('Valve Spec'!$E$2+(1/((1/Parameters!$B$3)+(1/Parameters!$G$3))))))^2</f>
        <v>4.6110494197187526</v>
      </c>
    </row>
    <row r="20" spans="1:45" ht="18" customHeight="1" thickTop="1" thickBot="1">
      <c r="A20" s="22"/>
      <c r="B20" s="29" t="s">
        <v>33</v>
      </c>
      <c r="C20" s="30">
        <f>(2*PI()*C17*(Parameters!$D$3/1000000)*Parameters!$C$3)^2</f>
        <v>4.2991996771145251</v>
      </c>
      <c r="D20" s="30">
        <f>(2*PI()*D17*(Parameters!$D$3/1000000)*Parameters!$C$3)^2</f>
        <v>5.9862056304142612</v>
      </c>
      <c r="E20" s="30">
        <f>(2*PI()*E17*(Parameters!$D$3/1000000)*Parameters!$C$3)^2</f>
        <v>8.335192719788818</v>
      </c>
      <c r="F20" s="30">
        <f>(2*PI()*F17*(Parameters!$D$3/1000000)*Parameters!$C$3)^2</f>
        <v>11.605922343033949</v>
      </c>
      <c r="G20" s="30">
        <f>(2*PI()*G17*(Parameters!$D$3/1000000)*Parameters!$C$3)^2</f>
        <v>16.160086270440466</v>
      </c>
      <c r="H20" s="30">
        <f>(2*PI()*H17*(Parameters!$D$3/1000000)*Parameters!$C$3)^2</f>
        <v>22.501304122961301</v>
      </c>
      <c r="I20" s="30">
        <f>(2*PI()*I17*(Parameters!$D$3/1000000)*Parameters!$C$3)^2</f>
        <v>31.330815860811306</v>
      </c>
      <c r="J20" s="30">
        <f>(2*PI()*J17*(Parameters!$D$3/1000000)*Parameters!$C$3)^2</f>
        <v>43.625028004593673</v>
      </c>
      <c r="K20" s="30">
        <f>(2*PI()*K17*(Parameters!$D$3/1000000)*Parameters!$C$3)^2</f>
        <v>60.743488993596216</v>
      </c>
      <c r="L20" s="30">
        <f>(2*PI()*L17*(Parameters!$D$3/1000000)*Parameters!$C$3)^2</f>
        <v>84.57923407468337</v>
      </c>
      <c r="M20" s="30">
        <f>(2*PI()*M17*(Parameters!$D$3/1000000)*Parameters!$C$3)^2</f>
        <v>117.76812552558904</v>
      </c>
      <c r="N20" s="30">
        <f>(2*PI()*N17*(Parameters!$D$3/1000000)*Parameters!$C$3)^2</f>
        <v>163.98033798183019</v>
      </c>
      <c r="O20" s="30">
        <f>(2*PI()*O17*(Parameters!$D$3/1000000)*Parameters!$C$3)^2</f>
        <v>228.32622260590031</v>
      </c>
      <c r="P20" s="30">
        <f>(2*PI()*P17*(Parameters!$D$3/1000000)*Parameters!$C$3)^2</f>
        <v>317.92143235645563</v>
      </c>
      <c r="Q20" s="30">
        <f>(2*PI()*Q17*(Parameters!$D$3/1000000)*Parameters!$C$3)^2</f>
        <v>442.67380241312867</v>
      </c>
      <c r="R20" s="30">
        <f>(2*PI()*R17*(Parameters!$D$3/1000000)*Parameters!$C$3)^2</f>
        <v>616.37900248004019</v>
      </c>
      <c r="S20" s="30">
        <f>(2*PI()*S17*(Parameters!$D$3/1000000)*Parameters!$C$3)^2</f>
        <v>858.24612305320841</v>
      </c>
      <c r="T20" s="30">
        <f>(2*PI()*T17*(Parameters!$D$3/1000000)*Parameters!$C$3)^2</f>
        <v>1195.0219017392872</v>
      </c>
      <c r="U20" s="30">
        <f>(2*PI()*U17*(Parameters!$D$3/1000000)*Parameters!$C$3)^2</f>
        <v>1663.948495981783</v>
      </c>
      <c r="V20" s="30">
        <f>(2*PI()*V17*(Parameters!$D$3/1000000)*Parameters!$C$3)^2</f>
        <v>2316.8818858050349</v>
      </c>
      <c r="W20" s="30">
        <f>(2*PI()*W17*(Parameters!$D$3/1000000)*Parameters!$C$3)^2</f>
        <v>3226.0263377949309</v>
      </c>
      <c r="X20" s="30">
        <f>(2*PI()*X17*(Parameters!$D$3/1000000)*Parameters!$C$3)^2</f>
        <v>4491.9190727456598</v>
      </c>
      <c r="Y20" s="30">
        <f>(2*PI()*Y17*(Parameters!$D$3/1000000)*Parameters!$C$3)^2</f>
        <v>6254.5481168910574</v>
      </c>
      <c r="Z20" s="30">
        <f>(2*PI()*Z17*(Parameters!$D$3/1000000)*Parameters!$C$3)^2</f>
        <v>8708.8327979591068</v>
      </c>
      <c r="AA20" s="30">
        <f>(2*PI()*AA17*(Parameters!$D$3/1000000)*Parameters!$C$3)^2</f>
        <v>12126.17878787826</v>
      </c>
      <c r="AB20" s="30">
        <f>(2*PI()*AB17*(Parameters!$D$3/1000000)*Parameters!$C$3)^2</f>
        <v>16884.491344241695</v>
      </c>
      <c r="AC20" s="30">
        <f>(2*PI()*AC17*(Parameters!$D$3/1000000)*Parameters!$C$3)^2</f>
        <v>23509.965747722134</v>
      </c>
      <c r="AD20" s="30">
        <f>(2*PI()*AD17*(Parameters!$D$3/1000000)*Parameters!$C$3)^2</f>
        <v>32735.27630712829</v>
      </c>
      <c r="AE20" s="30">
        <f>(2*PI()*AE17*(Parameters!$D$3/1000000)*Parameters!$C$3)^2</f>
        <v>45580.598730045422</v>
      </c>
      <c r="AF20" s="30">
        <f>(2*PI()*AF17*(Parameters!$D$3/1000000)*Parameters!$C$3)^2</f>
        <v>63466.425671715253</v>
      </c>
      <c r="AG20" s="30">
        <f>(2*PI()*AG17*(Parameters!$D$3/1000000)*Parameters!$C$3)^2</f>
        <v>88370.651105296289</v>
      </c>
      <c r="AH20" s="30">
        <f>(2*PI()*AH17*(Parameters!$D$3/1000000)*Parameters!$C$3)^2</f>
        <v>123047.29459901452</v>
      </c>
      <c r="AI20" s="30">
        <f>(2*PI()*AI17*(Parameters!$D$3/1000000)*Parameters!$C$3)^2</f>
        <v>171331.05299966782</v>
      </c>
      <c r="AJ20" s="30">
        <f>(2*PI()*AJ17*(Parameters!$D$3/1000000)*Parameters!$C$3)^2</f>
        <v>238561.35819673745</v>
      </c>
      <c r="AK20" s="30">
        <f>(2*PI()*AK17*(Parameters!$D$3/1000000)*Parameters!$C$3)^2</f>
        <v>332172.83515313722</v>
      </c>
      <c r="AL20" s="30">
        <f>(2*PI()*AL17*(Parameters!$D$3/1000000)*Parameters!$C$3)^2</f>
        <v>462517.45566722821</v>
      </c>
      <c r="AM20" s="30">
        <f>(2*PI()*AM17*(Parameters!$D$3/1000000)*Parameters!$C$3)^2</f>
        <v>644009.30527104856</v>
      </c>
      <c r="AN20" s="30">
        <f>(2*PI()*AN17*(Parameters!$D$3/1000000)*Parameters!$C$3)^2</f>
        <v>896718.55665940756</v>
      </c>
      <c r="AO20" s="30">
        <f>(2*PI()*AO17*(Parameters!$D$3/1000000)*Parameters!$C$3)^2</f>
        <v>1248590.918292559</v>
      </c>
      <c r="AP20" s="30">
        <f>(2*PI()*AP17*(Parameters!$D$3/1000000)*Parameters!$C$3)^2</f>
        <v>1738537.9946305586</v>
      </c>
      <c r="AQ20" s="30">
        <f>(2*PI()*AQ17*(Parameters!$D$3/1000000)*Parameters!$C$3)^2</f>
        <v>2420740.3037235891</v>
      </c>
      <c r="AR20" s="30">
        <f>(2*PI()*AR17*(Parameters!$D$3/1000000)*Parameters!$C$3)^2</f>
        <v>3370638.7989047267</v>
      </c>
      <c r="AS20" s="30">
        <f>(2*PI()*AS17*(Parameters!$D$3/1000000)*Parameters!$C$3)^2</f>
        <v>4299199.677114523</v>
      </c>
    </row>
    <row r="21" spans="1:45" ht="16.5" customHeight="1" thickTop="1" thickBot="1">
      <c r="A21" s="22"/>
      <c r="B21" s="29" t="s">
        <v>35</v>
      </c>
      <c r="C21" s="30">
        <f t="shared" ref="C21:H21" si="3">(C18/(C19+C20))^0.5</f>
        <v>0.77118792237824629</v>
      </c>
      <c r="D21" s="30">
        <f t="shared" si="3"/>
        <v>0.81194009617368312</v>
      </c>
      <c r="E21" s="30">
        <f t="shared" si="3"/>
        <v>0.84916049451796349</v>
      </c>
      <c r="F21" s="30">
        <f t="shared" si="3"/>
        <v>0.88166263038249082</v>
      </c>
      <c r="G21" s="30">
        <f t="shared" si="3"/>
        <v>0.90892827151556543</v>
      </c>
      <c r="H21" s="30">
        <f t="shared" si="3"/>
        <v>0.9310272057600274</v>
      </c>
      <c r="I21" s="30">
        <f t="shared" ref="I21:AS21" si="4">(I18/(I19+I20))^0.5</f>
        <v>0.94843599082899999</v>
      </c>
      <c r="J21" s="30">
        <f t="shared" si="4"/>
        <v>0.96184094112711105</v>
      </c>
      <c r="K21" s="30">
        <f t="shared" si="4"/>
        <v>0.97198084796892126</v>
      </c>
      <c r="L21" s="30">
        <f t="shared" si="4"/>
        <v>0.97954733063697885</v>
      </c>
      <c r="M21" s="30">
        <f t="shared" si="4"/>
        <v>0.98513600175099858</v>
      </c>
      <c r="N21" s="30">
        <f t="shared" si="4"/>
        <v>0.98923255930594445</v>
      </c>
      <c r="O21" s="30">
        <f t="shared" si="4"/>
        <v>0.99221860511027915</v>
      </c>
      <c r="P21" s="30">
        <f t="shared" si="4"/>
        <v>0.99438628066490875</v>
      </c>
      <c r="Q21" s="30">
        <f t="shared" si="4"/>
        <v>0.99595518693018348</v>
      </c>
      <c r="R21" s="30">
        <f t="shared" si="4"/>
        <v>0.99708826713145682</v>
      </c>
      <c r="S21" s="30">
        <f t="shared" si="4"/>
        <v>0.99790531068548705</v>
      </c>
      <c r="T21" s="30">
        <f t="shared" si="4"/>
        <v>0.99849380139791821</v>
      </c>
      <c r="U21" s="30">
        <f t="shared" si="4"/>
        <v>0.9989173280391983</v>
      </c>
      <c r="V21" s="30">
        <f t="shared" si="4"/>
        <v>0.99922195439577399</v>
      </c>
      <c r="W21" s="30">
        <f t="shared" si="4"/>
        <v>0.99944096804825211</v>
      </c>
      <c r="X21" s="30">
        <f t="shared" si="4"/>
        <v>0.99959838201919904</v>
      </c>
      <c r="Y21" s="30">
        <f t="shared" si="4"/>
        <v>0.99971149715976892</v>
      </c>
      <c r="Z21" s="30">
        <f t="shared" si="4"/>
        <v>0.99979276714891485</v>
      </c>
      <c r="AA21" s="30">
        <f t="shared" si="4"/>
        <v>0.99985115073959829</v>
      </c>
      <c r="AB21" s="30">
        <f t="shared" si="4"/>
        <v>0.99989308956819334</v>
      </c>
      <c r="AC21" s="30">
        <f t="shared" si="4"/>
        <v>0.999923213841025</v>
      </c>
      <c r="AD21" s="30">
        <f t="shared" si="4"/>
        <v>0.99994485092517027</v>
      </c>
      <c r="AE21" s="30">
        <f t="shared" si="4"/>
        <v>0.99996039152882388</v>
      </c>
      <c r="AF21" s="30">
        <f t="shared" si="4"/>
        <v>0.99997155316055586</v>
      </c>
      <c r="AG21" s="30">
        <f t="shared" si="4"/>
        <v>0.99997956958644496</v>
      </c>
      <c r="AH21" s="30">
        <f t="shared" si="4"/>
        <v>0.99998532702157961</v>
      </c>
      <c r="AI21" s="30">
        <f t="shared" si="4"/>
        <v>0.99998946200586303</v>
      </c>
      <c r="AJ21" s="30">
        <f t="shared" si="4"/>
        <v>0.99999243173052754</v>
      </c>
      <c r="AK21" s="30">
        <f t="shared" si="4"/>
        <v>0.99999456456289426</v>
      </c>
      <c r="AL21" s="30">
        <f t="shared" si="4"/>
        <v>0.9999960963414205</v>
      </c>
      <c r="AM21" s="30">
        <f t="shared" si="4"/>
        <v>0.99999719644685459</v>
      </c>
      <c r="AN21" s="30">
        <f t="shared" si="4"/>
        <v>0.99999798652851568</v>
      </c>
      <c r="AO21" s="30">
        <f t="shared" si="4"/>
        <v>0.99999855395444492</v>
      </c>
      <c r="AP21" s="30">
        <f t="shared" si="4"/>
        <v>0.9999989614717284</v>
      </c>
      <c r="AQ21" s="30">
        <f t="shared" si="4"/>
        <v>0.99999925414471713</v>
      </c>
      <c r="AR21" s="30">
        <f t="shared" si="4"/>
        <v>0.99999946433811771</v>
      </c>
      <c r="AS21" s="30">
        <f t="shared" si="4"/>
        <v>0.99999958003272982</v>
      </c>
    </row>
    <row r="22" spans="1:45" ht="14" thickTop="1" thickBot="1">
      <c r="A22" s="22"/>
      <c r="B22" s="29" t="s">
        <v>36</v>
      </c>
      <c r="C22" s="30">
        <f>Parameters!$E$13*C21*C23*C24</f>
        <v>11.463275692641739</v>
      </c>
      <c r="D22" s="30">
        <f>Parameters!$E$13*D21*D23*D24</f>
        <v>13.951583335650342</v>
      </c>
      <c r="E22" s="30">
        <f>Parameters!$E$13*E21*E23*E24</f>
        <v>16.75391534113643</v>
      </c>
      <c r="F22" s="30">
        <f>Parameters!$E$13*F21*F23*F24</f>
        <v>19.806643014613989</v>
      </c>
      <c r="G22" s="30">
        <f>Parameters!$E$13*G21*G23*G24</f>
        <v>23.015775022233747</v>
      </c>
      <c r="H22" s="30">
        <f>Parameters!$E$13*H21*H23*H24</f>
        <v>26.26376022020278</v>
      </c>
      <c r="I22" s="30">
        <f>Parameters!$E$13*I21*I23*I24</f>
        <v>29.422116705929145</v>
      </c>
      <c r="J22" s="30">
        <f>Parameters!$E$13*J21*J23*J24</f>
        <v>32.36879544545608</v>
      </c>
      <c r="K22" s="30">
        <f>Parameters!$E$13*K21*K23*K24</f>
        <v>35.006146895029509</v>
      </c>
      <c r="L22" s="30">
        <f>Parameters!$E$13*L21*L23*L24</f>
        <v>37.273604447314568</v>
      </c>
      <c r="M22" s="30">
        <f>Parameters!$E$13*M21*M23*M24</f>
        <v>39.150913178282686</v>
      </c>
      <c r="N22" s="30">
        <f>Parameters!$E$13*N21*N23*N24</f>
        <v>40.652036933957483</v>
      </c>
      <c r="O22" s="30">
        <f>Parameters!$E$13*O21*O23*O24</f>
        <v>41.813569660864104</v>
      </c>
      <c r="P22" s="30">
        <f>Parameters!$E$13*P21*P23*P24</f>
        <v>42.682350745400917</v>
      </c>
      <c r="Q22" s="30">
        <f>Parameters!$E$13*Q21*Q23*Q24</f>
        <v>43.305469202490606</v>
      </c>
      <c r="R22" s="30">
        <f>Parameters!$E$13*R21*R23*R24</f>
        <v>43.723705379920077</v>
      </c>
      <c r="S22" s="30">
        <f>Parameters!$E$13*S21*S23*S24</f>
        <v>43.967978057159172</v>
      </c>
      <c r="T22" s="30">
        <f>Parameters!$E$13*T21*T23*T24</f>
        <v>44.057803033278596</v>
      </c>
      <c r="U22" s="30">
        <f>Parameters!$E$13*U21*U23*U24</f>
        <v>44.000829307376932</v>
      </c>
      <c r="V22" s="30">
        <f>Parameters!$E$13*V21*V23*V24</f>
        <v>43.792849317734984</v>
      </c>
      <c r="W22" s="30">
        <f>Parameters!$E$13*W21*W23*W24</f>
        <v>43.418078160585445</v>
      </c>
      <c r="X22" s="30">
        <f>Parameters!$E$13*X21*X23*X24</f>
        <v>42.849896164045575</v>
      </c>
      <c r="Y22" s="30">
        <f>Parameters!$E$13*Y21*Y23*Y24</f>
        <v>42.052629912374968</v>
      </c>
      <c r="Z22" s="30">
        <f>Parameters!$E$13*Z21*Z23*Z24</f>
        <v>40.985239155269277</v>
      </c>
      <c r="AA22" s="30">
        <f>Parameters!$E$13*AA21*AA23*AA24</f>
        <v>39.60777979883769</v>
      </c>
      <c r="AB22" s="30">
        <f>Parameters!$E$13*AB21*AB23*AB24</f>
        <v>37.890893644487889</v>
      </c>
      <c r="AC22" s="30">
        <f>Parameters!$E$13*AC21*AC23*AC24</f>
        <v>35.827089126784443</v>
      </c>
      <c r="AD22" s="30">
        <f>Parameters!$E$13*AD21*AD23*AD24</f>
        <v>33.440565588754808</v>
      </c>
      <c r="AE22" s="30">
        <f>Parameters!$E$13*AE21*AE23*AE24</f>
        <v>30.791107394080932</v>
      </c>
      <c r="AF22" s="30">
        <f>Parameters!$E$13*AF21*AF23*AF24</f>
        <v>27.968794187614638</v>
      </c>
      <c r="AG22" s="30">
        <f>Parameters!$E$13*AG21*AG23*AG24</f>
        <v>25.080148126054493</v>
      </c>
      <c r="AH22" s="30">
        <f>Parameters!$E$13*AH21*AH23*AH24</f>
        <v>22.23053697240924</v>
      </c>
      <c r="AI22" s="30">
        <f>Parameters!$E$13*AI21*AI23*AI24</f>
        <v>19.50907029483513</v>
      </c>
      <c r="AJ22" s="30">
        <f>Parameters!$E$13*AJ21*AJ23*AJ24</f>
        <v>16.980083359058156</v>
      </c>
      <c r="AK22" s="30">
        <f>Parameters!$E$13*AK21*AK23*AK24</f>
        <v>14.68168310621656</v>
      </c>
      <c r="AL22" s="30">
        <f>Parameters!$E$13*AL21*AL23*AL24</f>
        <v>12.629254503463075</v>
      </c>
      <c r="AM22" s="30">
        <f>Parameters!$E$13*AM21*AM23*AM24</f>
        <v>10.821176322573557</v>
      </c>
      <c r="AN22" s="30">
        <f>Parameters!$E$13*AN21*AN23*AN24</f>
        <v>9.2446489459151522</v>
      </c>
      <c r="AO22" s="30">
        <f>Parameters!$E$13*AO21*AO23*AO24</f>
        <v>7.8805357997589809</v>
      </c>
      <c r="AP22" s="30">
        <f>Parameters!$E$13*AP21*AP23*AP24</f>
        <v>6.7068990009379723</v>
      </c>
      <c r="AQ22" s="30">
        <f>Parameters!$E$13*AQ21*AQ23*AQ24</f>
        <v>5.7013372865414915</v>
      </c>
      <c r="AR22" s="30">
        <f>Parameters!$E$13*AR21*AR23*AR24</f>
        <v>4.8423928040867121</v>
      </c>
      <c r="AS22" s="30">
        <f>Parameters!$E$13*AS21*AS23*AS24</f>
        <v>4.2929463549007698</v>
      </c>
    </row>
    <row r="23" spans="1:45" ht="15" customHeight="1" thickTop="1" thickBot="1">
      <c r="A23" s="22"/>
      <c r="B23" s="29" t="s">
        <v>45</v>
      </c>
      <c r="C23" s="30">
        <f>Parameters!$G$3/((((Parameters!$G$3+((Parameters!$K$13+Parameters!$G$13)/2))^2)+((1/(2*PI()*C17*(Parameters!$H$3/1000000000)))^2))^0.5)</f>
        <v>0.28739512575515719</v>
      </c>
      <c r="D23" s="30">
        <f>Parameters!$G$3/((((Parameters!$G$3+((Parameters!$K$13+Parameters!$G$13)/2))^2)+((1/(2*PI()*D17*(Parameters!$H$3/1000000000)))^2))^0.5)</f>
        <v>0.3322307766496157</v>
      </c>
      <c r="E23" s="30">
        <f>Parameters!$G$3/((((Parameters!$G$3+((Parameters!$K$13+Parameters!$G$13)/2))^2)+((1/(2*PI()*E17*(Parameters!$H$3/1000000000)))^2))^0.5)</f>
        <v>0.38148729300416362</v>
      </c>
      <c r="F23" s="30">
        <f>Parameters!$G$3/((((Parameters!$G$3+((Parameters!$K$13+Parameters!$G$13)/2))^2)+((1/(2*PI()*F17*(Parameters!$H$3/1000000000)))^2))^0.5)</f>
        <v>0.43439052571400721</v>
      </c>
      <c r="G23" s="30">
        <f>Parameters!$G$3/((((Parameters!$G$3+((Parameters!$K$13+Parameters!$G$13)/2))^2)+((1/(2*PI()*G17*(Parameters!$H$3/1000000000)))^2))^0.5)</f>
        <v>0.48965868379379734</v>
      </c>
      <c r="H23" s="30">
        <f>Parameters!$G$3/((((Parameters!$G$3+((Parameters!$K$13+Parameters!$G$13)/2))^2)+((1/(2*PI()*H17*(Parameters!$H$3/1000000000)))^2))^0.5)</f>
        <v>0.54554124991188579</v>
      </c>
      <c r="I23" s="30">
        <f>Parameters!$G$3/((((Parameters!$G$3+((Parameters!$K$13+Parameters!$G$13)/2))^2)+((1/(2*PI()*I17*(Parameters!$H$3/1000000000)))^2))^0.5)</f>
        <v>0.59999619760785239</v>
      </c>
      <c r="J23" s="30">
        <f>Parameters!$G$3/((((Parameters!$G$3+((Parameters!$K$13+Parameters!$G$13)/2))^2)+((1/(2*PI()*J17*(Parameters!$H$3/1000000000)))^2))^0.5)</f>
        <v>0.65099081713267837</v>
      </c>
      <c r="K23" s="30">
        <f>Parameters!$G$3/((((Parameters!$G$3+((Parameters!$K$13+Parameters!$G$13)/2))^2)+((1/(2*PI()*K17*(Parameters!$H$3/1000000000)))^2))^0.5)</f>
        <v>0.69684179097701138</v>
      </c>
      <c r="L23" s="30">
        <f>Parameters!$G$3/((((Parameters!$G$3+((Parameters!$K$13+Parameters!$G$13)/2))^2)+((1/(2*PI()*L17*(Parameters!$H$3/1000000000)))^2))^0.5)</f>
        <v>0.73647354940927601</v>
      </c>
      <c r="M23" s="30">
        <f>Parameters!$G$3/((((Parameters!$G$3+((Parameters!$K$13+Parameters!$G$13)/2))^2)+((1/(2*PI()*M17*(Parameters!$H$3/1000000000)))^2))^0.5)</f>
        <v>0.76950736935639608</v>
      </c>
      <c r="N23" s="30">
        <f>Parameters!$G$3/((((Parameters!$G$3+((Parameters!$K$13+Parameters!$G$13)/2))^2)+((1/(2*PI()*N17*(Parameters!$H$3/1000000000)))^2))^0.5)</f>
        <v>0.79617686960058476</v>
      </c>
      <c r="O23" s="30">
        <f>Parameters!$G$3/((((Parameters!$G$3+((Parameters!$K$13+Parameters!$G$13)/2))^2)+((1/(2*PI()*O17*(Parameters!$H$3/1000000000)))^2))^0.5)</f>
        <v>0.81713732018889529</v>
      </c>
      <c r="P23" s="30">
        <f>Parameters!$G$3/((((Parameters!$G$3+((Parameters!$K$13+Parameters!$G$13)/2))^2)+((1/(2*PI()*P17*(Parameters!$H$3/1000000000)))^2))^0.5)</f>
        <v>0.83325509857936642</v>
      </c>
      <c r="Q23" s="30">
        <f>Parameters!$G$3/((((Parameters!$G$3+((Parameters!$K$13+Parameters!$G$13)/2))^2)+((1/(2*PI()*Q17*(Parameters!$H$3/1000000000)))^2))^0.5)</f>
        <v>0.84543742049904991</v>
      </c>
      <c r="R23" s="30">
        <f>Parameters!$G$3/((((Parameters!$G$3+((Parameters!$K$13+Parameters!$G$13)/2))^2)+((1/(2*PI()*R17*(Parameters!$H$3/1000000000)))^2))^0.5)</f>
        <v>0.85452379346955454</v>
      </c>
      <c r="S23" s="30">
        <f>Parameters!$G$3/((((Parameters!$G$3+((Parameters!$K$13+Parameters!$G$13)/2))^2)+((1/(2*PI()*S17*(Parameters!$H$3/1000000000)))^2))^0.5)</f>
        <v>0.86123326668616318</v>
      </c>
      <c r="T23" s="30">
        <f>Parameters!$G$3/((((Parameters!$G$3+((Parameters!$K$13+Parameters!$G$13)/2))^2)+((1/(2*PI()*T17*(Parameters!$H$3/1000000000)))^2))^0.5)</f>
        <v>0.86615060227067497</v>
      </c>
      <c r="U23" s="30">
        <f>Parameters!$G$3/((((Parameters!$G$3+((Parameters!$K$13+Parameters!$G$13)/2))^2)+((1/(2*PI()*U17*(Parameters!$H$3/1000000000)))^2))^0.5)</f>
        <v>0.86973458229251677</v>
      </c>
      <c r="V23" s="30">
        <f>Parameters!$G$3/((((Parameters!$G$3+((Parameters!$K$13+Parameters!$G$13)/2))^2)+((1/(2*PI()*V17*(Parameters!$H$3/1000000000)))^2))^0.5)</f>
        <v>0.87233616541287617</v>
      </c>
      <c r="W23" s="30">
        <f>Parameters!$G$3/((((Parameters!$G$3+((Parameters!$K$13+Parameters!$G$13)/2))^2)+((1/(2*PI()*W17*(Parameters!$H$3/1000000000)))^2))^0.5)</f>
        <v>0.87421905223436858</v>
      </c>
      <c r="X23" s="30">
        <f>Parameters!$G$3/((((Parameters!$G$3+((Parameters!$K$13+Parameters!$G$13)/2))^2)+((1/(2*PI()*X17*(Parameters!$H$3/1000000000)))^2))^0.5)</f>
        <v>0.87557885965370597</v>
      </c>
      <c r="Y23" s="30">
        <f>Parameters!$G$3/((((Parameters!$G$3+((Parameters!$K$13+Parameters!$G$13)/2))^2)+((1/(2*PI()*Y17*(Parameters!$H$3/1000000000)))^2))^0.5)</f>
        <v>0.87655937650974214</v>
      </c>
      <c r="Z23" s="30">
        <f>Parameters!$G$3/((((Parameters!$G$3+((Parameters!$K$13+Parameters!$G$13)/2))^2)+((1/(2*PI()*Z17*(Parameters!$H$3/1000000000)))^2))^0.5)</f>
        <v>0.87726560435060152</v>
      </c>
      <c r="AA23" s="30">
        <f>Parameters!$G$3/((((Parameters!$G$3+((Parameters!$K$13+Parameters!$G$13)/2))^2)+((1/(2*PI()*AA17*(Parameters!$H$3/1000000000)))^2))^0.5)</f>
        <v>0.87777386067659868</v>
      </c>
      <c r="AB23" s="30">
        <f>Parameters!$G$3/((((Parameters!$G$3+((Parameters!$K$13+Parameters!$G$13)/2))^2)+((1/(2*PI()*AB17*(Parameters!$H$3/1000000000)))^2))^0.5)</f>
        <v>0.87813942798386613</v>
      </c>
      <c r="AC23" s="30">
        <f>Parameters!$G$3/((((Parameters!$G$3+((Parameters!$K$13+Parameters!$G$13)/2))^2)+((1/(2*PI()*AC17*(Parameters!$H$3/1000000000)))^2))^0.5)</f>
        <v>0.87840225471694533</v>
      </c>
      <c r="AD23" s="30">
        <f>Parameters!$G$3/((((Parameters!$G$3+((Parameters!$K$13+Parameters!$G$13)/2))^2)+((1/(2*PI()*AD17*(Parameters!$H$3/1000000000)))^2))^0.5)</f>
        <v>0.8785911584548588</v>
      </c>
      <c r="AE23" s="30">
        <f>Parameters!$G$3/((((Parameters!$G$3+((Parameters!$K$13+Parameters!$G$13)/2))^2)+((1/(2*PI()*AE17*(Parameters!$H$3/1000000000)))^2))^0.5)</f>
        <v>0.8787269013971658</v>
      </c>
      <c r="AF23" s="30">
        <f>Parameters!$G$3/((((Parameters!$G$3+((Parameters!$K$13+Parameters!$G$13)/2))^2)+((1/(2*PI()*AF17*(Parameters!$H$3/1000000000)))^2))^0.5)</f>
        <v>0.87882442869299393</v>
      </c>
      <c r="AG23" s="30">
        <f>Parameters!$G$3/((((Parameters!$G$3+((Parameters!$K$13+Parameters!$G$13)/2))^2)+((1/(2*PI()*AG17*(Parameters!$H$3/1000000000)))^2))^0.5)</f>
        <v>0.87889449131702035</v>
      </c>
      <c r="AH23" s="30">
        <f>Parameters!$G$3/((((Parameters!$G$3+((Parameters!$K$13+Parameters!$G$13)/2))^2)+((1/(2*PI()*AH17*(Parameters!$H$3/1000000000)))^2))^0.5)</f>
        <v>0.87894481954270798</v>
      </c>
      <c r="AI23" s="30">
        <f>Parameters!$G$3/((((Parameters!$G$3+((Parameters!$K$13+Parameters!$G$13)/2))^2)+((1/(2*PI()*AI17*(Parameters!$H$3/1000000000)))^2))^0.5)</f>
        <v>0.87898096982561635</v>
      </c>
      <c r="AJ23" s="30">
        <f>Parameters!$G$3/((((Parameters!$G$3+((Parameters!$K$13+Parameters!$G$13)/2))^2)+((1/(2*PI()*AJ17*(Parameters!$H$3/1000000000)))^2))^0.5)</f>
        <v>0.87900693514817185</v>
      </c>
      <c r="AK23" s="30">
        <f>Parameters!$G$3/((((Parameters!$G$3+((Parameters!$K$13+Parameters!$G$13)/2))^2)+((1/(2*PI()*AK17*(Parameters!$H$3/1000000000)))^2))^0.5)</f>
        <v>0.87902558445833645</v>
      </c>
      <c r="AL23" s="30">
        <f>Parameters!$G$3/((((Parameters!$G$3+((Parameters!$K$13+Parameters!$G$13)/2))^2)+((1/(2*PI()*AL17*(Parameters!$H$3/1000000000)))^2))^0.5)</f>
        <v>0.879038978834916</v>
      </c>
      <c r="AM23" s="30">
        <f>Parameters!$G$3/((((Parameters!$G$3+((Parameters!$K$13+Parameters!$G$13)/2))^2)+((1/(2*PI()*AM17*(Parameters!$H$3/1000000000)))^2))^0.5)</f>
        <v>0.87904859884541175</v>
      </c>
      <c r="AN23" s="30">
        <f>Parameters!$G$3/((((Parameters!$G$3+((Parameters!$K$13+Parameters!$G$13)/2))^2)+((1/(2*PI()*AN17*(Parameters!$H$3/1000000000)))^2))^0.5)</f>
        <v>0.87905550798203502</v>
      </c>
      <c r="AO23" s="30">
        <f>Parameters!$G$3/((((Parameters!$G$3+((Parameters!$K$13+Parameters!$G$13)/2))^2)+((1/(2*PI()*AO17*(Parameters!$H$3/1000000000)))^2))^0.5)</f>
        <v>0.87906047011689747</v>
      </c>
      <c r="AP23" s="30">
        <f>Parameters!$G$3/((((Parameters!$G$3+((Parameters!$K$13+Parameters!$G$13)/2))^2)+((1/(2*PI()*AP17*(Parameters!$H$3/1000000000)))^2))^0.5)</f>
        <v>0.87906403389674059</v>
      </c>
      <c r="AQ23" s="30">
        <f>Parameters!$G$3/((((Parameters!$G$3+((Parameters!$K$13+Parameters!$G$13)/2))^2)+((1/(2*PI()*AQ17*(Parameters!$H$3/1000000000)))^2))^0.5)</f>
        <v>0.87906659337467774</v>
      </c>
      <c r="AR23" s="30">
        <f>Parameters!$G$3/((((Parameters!$G$3+((Parameters!$K$13+Parameters!$G$13)/2))^2)+((1/(2*PI()*AR17*(Parameters!$H$3/1000000000)))^2))^0.5)</f>
        <v>0.87906843156567427</v>
      </c>
      <c r="AS23" s="30">
        <f>Parameters!$G$3/((((Parameters!$G$3+((Parameters!$K$13+Parameters!$G$13)/2))^2)+((1/(2*PI()*AS17*(Parameters!$H$3/1000000000)))^2))^0.5)</f>
        <v>0.87906944334666004</v>
      </c>
    </row>
    <row r="24" spans="1:45" ht="15" customHeight="1" thickTop="1" thickBot="1">
      <c r="A24" s="22"/>
      <c r="B24" s="29" t="s">
        <v>46</v>
      </c>
      <c r="C24" s="30">
        <f>(((1/(2*PI()*C17*(Parameters!$H$13/1000000000000)))^2)/((Parameters!$E$3^2)+((1/(2*PI()*C17*(Parameters!$H$13/1000000000000)))^2)))^0.5</f>
        <v>0.99994441383857724</v>
      </c>
      <c r="D24" s="30">
        <f>(((1/(2*PI()*D17*(Parameters!$H$13/1000000000000)))^2)/((Parameters!$E$3^2)+((1/(2*PI()*D17*(Parameters!$H$13/1000000000000)))^2)))^0.5</f>
        <v>0.99992260436101044</v>
      </c>
      <c r="E24" s="30">
        <f>(((1/(2*PI()*E17*(Parameters!$H$13/1000000000000)))^2)/((Parameters!$E$3^2)+((1/(2*PI()*E17*(Parameters!$H$13/1000000000000)))^2)))^0.5</f>
        <v>0.99989223922116954</v>
      </c>
      <c r="F24" s="30">
        <f>(((1/(2*PI()*F17*(Parameters!$H$13/1000000000000)))^2)/((Parameters!$E$3^2)+((1/(2*PI()*F17*(Parameters!$H$13/1000000000000)))^2)))^0.5</f>
        <v>0.99984996340766774</v>
      </c>
      <c r="G24" s="30">
        <f>(((1/(2*PI()*G17*(Parameters!$H$13/1000000000000)))^2)/((Parameters!$E$3^2)+((1/(2*PI()*G17*(Parameters!$H$13/1000000000000)))^2)))^0.5</f>
        <v>0.99979110749535149</v>
      </c>
      <c r="H24" s="30">
        <f>(((1/(2*PI()*H17*(Parameters!$H$13/1000000000000)))^2)/((Parameters!$E$3^2)+((1/(2*PI()*H17*(Parameters!$H$13/1000000000000)))^2)))^0.5</f>
        <v>0.99970917383182711</v>
      </c>
      <c r="I24" s="30">
        <f>(((1/(2*PI()*I17*(Parameters!$H$13/1000000000000)))^2)/((Parameters!$E$3^2)+((1/(2*PI()*I17*(Parameters!$H$13/1000000000000)))^2)))^0.5</f>
        <v>0.99959512294236896</v>
      </c>
      <c r="J24" s="30">
        <f>(((1/(2*PI()*J17*(Parameters!$H$13/1000000000000)))^2)/((Parameters!$E$3^2)+((1/(2*PI()*J17*(Parameters!$H$13/1000000000000)))^2)))^0.5</f>
        <v>0.99943638347908526</v>
      </c>
      <c r="K24" s="30">
        <f>(((1/(2*PI()*K17*(Parameters!$H$13/1000000000000)))^2)/((Parameters!$E$3^2)+((1/(2*PI()*K17*(Parameters!$H$13/1000000000000)))^2)))^0.5</f>
        <v>0.99921548055795406</v>
      </c>
      <c r="L24" s="30">
        <f>(((1/(2*PI()*L17*(Parameters!$H$13/1000000000000)))^2)/((Parameters!$E$3^2)+((1/(2*PI()*L17*(Parameters!$H$13/1000000000000)))^2)))^0.5</f>
        <v>0.9989081391577711</v>
      </c>
      <c r="M24" s="30">
        <f>(((1/(2*PI()*M17*(Parameters!$H$13/1000000000000)))^2)/((Parameters!$E$3^2)+((1/(2*PI()*M17*(Parameters!$H$13/1000000000000)))^2)))^0.5</f>
        <v>0.99848066896572552</v>
      </c>
      <c r="N24" s="30">
        <f>(((1/(2*PI()*N17*(Parameters!$H$13/1000000000000)))^2)/((Parameters!$E$3^2)+((1/(2*PI()*N17*(Parameters!$H$13/1000000000000)))^2)))^0.5</f>
        <v>0.99788637249443479</v>
      </c>
      <c r="O24" s="30">
        <f>(((1/(2*PI()*O17*(Parameters!$H$13/1000000000000)))^2)/((Parameters!$E$3^2)+((1/(2*PI()*O17*(Parameters!$H$13/1000000000000)))^2)))^0.5</f>
        <v>0.99706063878529094</v>
      </c>
      <c r="P24" s="30">
        <f>(((1/(2*PI()*P17*(Parameters!$H$13/1000000000000)))^2)/((Parameters!$E$3^2)+((1/(2*PI()*P17*(Parameters!$H$13/1000000000000)))^2)))^0.5</f>
        <v>0.99591429388038633</v>
      </c>
      <c r="Q24" s="30">
        <f>(((1/(2*PI()*Q17*(Parameters!$H$13/1000000000000)))^2)/((Parameters!$E$3^2)+((1/(2*PI()*Q17*(Parameters!$H$13/1000000000000)))^2)))^0.5</f>
        <v>0.99432468884554848</v>
      </c>
      <c r="R24" s="30">
        <f>(((1/(2*PI()*R17*(Parameters!$H$13/1000000000000)))^2)/((Parameters!$E$3^2)+((1/(2*PI()*R17*(Parameters!$H$13/1000000000000)))^2)))^0.5</f>
        <v>0.99212394717652341</v>
      </c>
      <c r="S24" s="30">
        <f>(((1/(2*PI()*S17*(Parameters!$H$13/1000000000000)))^2)/((Parameters!$E$3^2)+((1/(2*PI()*S17*(Parameters!$H$13/1000000000000)))^2)))^0.5</f>
        <v>0.98908383117374754</v>
      </c>
      <c r="T24" s="30">
        <f>(((1/(2*PI()*T17*(Parameters!$H$13/1000000000000)))^2)/((Parameters!$E$3^2)+((1/(2*PI()*T17*(Parameters!$H$13/1000000000000)))^2)))^0.5</f>
        <v>0.98489694656020743</v>
      </c>
      <c r="U24" s="30">
        <f>(((1/(2*PI()*U17*(Parameters!$H$13/1000000000000)))^2)/((Parameters!$E$3^2)+((1/(2*PI()*U17*(Parameters!$H$13/1000000000000)))^2)))^0.5</f>
        <v>0.97915470514861258</v>
      </c>
      <c r="V24" s="30">
        <f>(((1/(2*PI()*V17*(Parameters!$H$13/1000000000000)))^2)/((Parameters!$E$3^2)+((1/(2*PI()*V17*(Parameters!$H$13/1000000000000)))^2)))^0.5</f>
        <v>0.97132394764432173</v>
      </c>
      <c r="W24" s="30">
        <f>(((1/(2*PI()*W17*(Parameters!$H$13/1000000000000)))^2)/((Parameters!$E$3^2)+((1/(2*PI()*W17*(Parameters!$H$13/1000000000000)))^2)))^0.5</f>
        <v>0.96072683221352351</v>
      </c>
      <c r="X24" s="30">
        <f>(((1/(2*PI()*X17*(Parameters!$H$13/1000000000000)))^2)/((Parameters!$E$3^2)+((1/(2*PI()*X17*(Parameters!$H$13/1000000000000)))^2)))^0.5</f>
        <v>0.94653287170442346</v>
      </c>
      <c r="Y24" s="30">
        <f>(((1/(2*PI()*Y17*(Parameters!$H$13/1000000000000)))^2)/((Parameters!$E$3^2)+((1/(2*PI()*Y17*(Parameters!$H$13/1000000000000)))^2)))^0.5</f>
        <v>0.92777758014389822</v>
      </c>
      <c r="Z24" s="30">
        <f>(((1/(2*PI()*Z17*(Parameters!$H$13/1000000000000)))^2)/((Parameters!$E$3^2)+((1/(2*PI()*Z17*(Parameters!$H$13/1000000000000)))^2)))^0.5</f>
        <v>0.90342711246733653</v>
      </c>
      <c r="AA24" s="30">
        <f>(((1/(2*PI()*AA17*(Parameters!$H$13/1000000000000)))^2)/((Parameters!$E$3^2)+((1/(2*PI()*AA17*(Parameters!$H$13/1000000000000)))^2)))^0.5</f>
        <v>0.8725076492987911</v>
      </c>
      <c r="AB24" s="30">
        <f>(((1/(2*PI()*AB17*(Parameters!$H$13/1000000000000)))^2)/((Parameters!$E$3^2)+((1/(2*PI()*AB17*(Parameters!$H$13/1000000000000)))^2)))^0.5</f>
        <v>0.83430441700763158</v>
      </c>
      <c r="AC24" s="30">
        <f>(((1/(2*PI()*AC17*(Parameters!$H$13/1000000000000)))^2)/((Parameters!$E$3^2)+((1/(2*PI()*AC17*(Parameters!$H$13/1000000000000)))^2)))^0.5</f>
        <v>0.78860253749409381</v>
      </c>
      <c r="AD24" s="30">
        <f>(((1/(2*PI()*AD17*(Parameters!$H$13/1000000000000)))^2)/((Parameters!$E$3^2)+((1/(2*PI()*AD17*(Parameters!$H$13/1000000000000)))^2)))^0.5</f>
        <v>0.73589775172979954</v>
      </c>
      <c r="AE24" s="30">
        <f>(((1/(2*PI()*AE17*(Parameters!$H$13/1000000000000)))^2)/((Parameters!$E$3^2)+((1/(2*PI()*AE17*(Parameters!$H$13/1000000000000)))^2)))^0.5</f>
        <v>0.67747820358555466</v>
      </c>
      <c r="AF24" s="30">
        <f>(((1/(2*PI()*AF17*(Parameters!$H$13/1000000000000)))^2)/((Parameters!$E$3^2)+((1/(2*PI()*AF17*(Parameters!$H$13/1000000000000)))^2)))^0.5</f>
        <v>0.61530538501578735</v>
      </c>
      <c r="AG24" s="30">
        <f>(((1/(2*PI()*AG17*(Parameters!$H$13/1000000000000)))^2)/((Parameters!$E$3^2)+((1/(2*PI()*AG17*(Parameters!$H$13/1000000000000)))^2)))^0.5</f>
        <v>0.55170759985490914</v>
      </c>
      <c r="AH24" s="30">
        <f>(((1/(2*PI()*AH17*(Parameters!$H$13/1000000000000)))^2)/((Parameters!$E$3^2)+((1/(2*PI()*AH17*(Parameters!$H$13/1000000000000)))^2)))^0.5</f>
        <v>0.48899166171514252</v>
      </c>
      <c r="AI24" s="30">
        <f>(((1/(2*PI()*AI17*(Parameters!$H$13/1000000000000)))^2)/((Parameters!$E$3^2)+((1/(2*PI()*AI17*(Parameters!$H$13/1000000000000)))^2)))^0.5</f>
        <v>0.42910978359624385</v>
      </c>
      <c r="AJ24" s="30">
        <f>(((1/(2*PI()*AJ17*(Parameters!$H$13/1000000000000)))^2)/((Parameters!$E$3^2)+((1/(2*PI()*AJ17*(Parameters!$H$13/1000000000000)))^2)))^0.5</f>
        <v>0.37347156549524024</v>
      </c>
      <c r="AK24" s="30">
        <f>(((1/(2*PI()*AK17*(Parameters!$H$13/1000000000000)))^2)/((Parameters!$E$3^2)+((1/(2*PI()*AK17*(Parameters!$H$13/1000000000000)))^2)))^0.5</f>
        <v>0.32291143880247963</v>
      </c>
      <c r="AL24" s="30">
        <f>(((1/(2*PI()*AL17*(Parameters!$H$13/1000000000000)))^2)/((Parameters!$E$3^2)+((1/(2*PI()*AL17*(Parameters!$H$13/1000000000000)))^2)))^0.5</f>
        <v>0.27776531654305275</v>
      </c>
      <c r="AM24" s="30">
        <f>(((1/(2*PI()*AM17*(Parameters!$H$13/1000000000000)))^2)/((Parameters!$E$3^2)+((1/(2*PI()*AM17*(Parameters!$H$13/1000000000000)))^2)))^0.5</f>
        <v>0.23799593755022966</v>
      </c>
      <c r="AN24" s="30">
        <f>(((1/(2*PI()*AN17*(Parameters!$H$13/1000000000000)))^2)/((Parameters!$E$3^2)+((1/(2*PI()*AN17*(Parameters!$H$13/1000000000000)))^2)))^0.5</f>
        <v>0.20332076628421455</v>
      </c>
      <c r="AO24" s="30">
        <f>(((1/(2*PI()*AO17*(Parameters!$H$13/1000000000000)))^2)/((Parameters!$E$3^2)+((1/(2*PI()*AO17*(Parameters!$H$13/1000000000000)))^2)))^0.5</f>
        <v>0.17331827667926478</v>
      </c>
      <c r="AP24" s="30">
        <f>(((1/(2*PI()*AP17*(Parameters!$H$13/1000000000000)))^2)/((Parameters!$E$3^2)+((1/(2*PI()*AP17*(Parameters!$H$13/1000000000000)))^2)))^0.5</f>
        <v>0.14750557829789873</v>
      </c>
      <c r="AQ24" s="30">
        <f>(((1/(2*PI()*AQ17*(Parameters!$H$13/1000000000000)))^2)/((Parameters!$E$3^2)+((1/(2*PI()*AQ17*(Parameters!$H$13/1000000000000)))^2)))^0.5</f>
        <v>0.12538974549802404</v>
      </c>
      <c r="AR24" s="30">
        <f>(((1/(2*PI()*AR17*(Parameters!$H$13/1000000000000)))^2)/((Parameters!$E$3^2)+((1/(2*PI()*AR17*(Parameters!$H$13/1000000000000)))^2)))^0.5</f>
        <v>0.10649869907633441</v>
      </c>
      <c r="AS24" s="30">
        <f>(((1/(2*PI()*AS17*(Parameters!$H$13/1000000000000)))^2)/((Parameters!$E$3^2)+((1/(2*PI()*AS17*(Parameters!$H$13/1000000000000)))^2)))^0.5</f>
        <v>9.4414608931762956E-2</v>
      </c>
    </row>
    <row r="25" spans="1:45" ht="14" thickTop="1" thickBot="1">
      <c r="A25" s="22"/>
      <c r="B25" s="29" t="s">
        <v>37</v>
      </c>
      <c r="C25" s="30">
        <f>(LOG10(C22))*20</f>
        <v>21.18617474697189</v>
      </c>
      <c r="D25" s="30">
        <f t="shared" ref="D25:AS25" si="5">(LOG10(D22))*20</f>
        <v>22.892469951354201</v>
      </c>
      <c r="E25" s="30">
        <f t="shared" si="5"/>
        <v>24.482326331748968</v>
      </c>
      <c r="F25" s="30">
        <f t="shared" si="5"/>
        <v>25.936217482732697</v>
      </c>
      <c r="G25" s="30">
        <f t="shared" si="5"/>
        <v>27.240512074030541</v>
      </c>
      <c r="H25" s="30">
        <f t="shared" si="5"/>
        <v>28.387138095371331</v>
      </c>
      <c r="I25" s="30">
        <f t="shared" si="5"/>
        <v>29.373478276488648</v>
      </c>
      <c r="J25" s="30">
        <f t="shared" si="5"/>
        <v>30.202530762147713</v>
      </c>
      <c r="K25" s="30">
        <f t="shared" si="5"/>
        <v>30.882886217404291</v>
      </c>
      <c r="L25" s="30">
        <f t="shared" si="5"/>
        <v>31.428027842137709</v>
      </c>
      <c r="M25" s="30">
        <f t="shared" si="5"/>
        <v>31.85483792489789</v>
      </c>
      <c r="N25" s="30">
        <f t="shared" si="5"/>
        <v>32.181646229605185</v>
      </c>
      <c r="O25" s="30">
        <f t="shared" si="5"/>
        <v>32.426344904626625</v>
      </c>
      <c r="P25" s="30">
        <f t="shared" si="5"/>
        <v>32.604966606633376</v>
      </c>
      <c r="Q25" s="30">
        <f t="shared" si="5"/>
        <v>32.730854968391426</v>
      </c>
      <c r="R25" s="30">
        <f t="shared" si="5"/>
        <v>32.81433918534448</v>
      </c>
      <c r="S25" s="30">
        <f t="shared" si="5"/>
        <v>32.862729886053856</v>
      </c>
      <c r="T25" s="30">
        <f t="shared" si="5"/>
        <v>32.880456740401762</v>
      </c>
      <c r="U25" s="30">
        <f t="shared" si="5"/>
        <v>32.869217238916242</v>
      </c>
      <c r="V25" s="30">
        <f t="shared" si="5"/>
        <v>32.828064056942495</v>
      </c>
      <c r="W25" s="30">
        <f t="shared" si="5"/>
        <v>32.753411922338202</v>
      </c>
      <c r="X25" s="30">
        <f t="shared" si="5"/>
        <v>32.638995477139218</v>
      </c>
      <c r="Y25" s="30">
        <f t="shared" si="5"/>
        <v>32.47586322299594</v>
      </c>
      <c r="Z25" s="30">
        <f t="shared" si="5"/>
        <v>32.252549472122766</v>
      </c>
      <c r="AA25" s="30">
        <f t="shared" si="5"/>
        <v>31.955609977024231</v>
      </c>
      <c r="AB25" s="30">
        <f t="shared" si="5"/>
        <v>31.570696961817188</v>
      </c>
      <c r="AC25" s="30">
        <f t="shared" si="5"/>
        <v>31.084230482312204</v>
      </c>
      <c r="AD25" s="30">
        <f t="shared" si="5"/>
        <v>30.485472283233122</v>
      </c>
      <c r="AE25" s="30">
        <f t="shared" si="5"/>
        <v>29.768506169418419</v>
      </c>
      <c r="AF25" s="30">
        <f t="shared" si="5"/>
        <v>28.933474862680018</v>
      </c>
      <c r="AG25" s="30">
        <f t="shared" si="5"/>
        <v>27.986601943124228</v>
      </c>
      <c r="AH25" s="30">
        <f t="shared" si="5"/>
        <v>26.938999061751069</v>
      </c>
      <c r="AI25" s="30">
        <f t="shared" si="5"/>
        <v>25.804731471495195</v>
      </c>
      <c r="AJ25" s="30">
        <f t="shared" si="5"/>
        <v>24.598796359254216</v>
      </c>
      <c r="AK25" s="30">
        <f t="shared" si="5"/>
        <v>23.335516917925169</v>
      </c>
      <c r="AL25" s="30">
        <f t="shared" si="5"/>
        <v>22.027554303920716</v>
      </c>
      <c r="AM25" s="30">
        <f t="shared" si="5"/>
        <v>20.685489471666813</v>
      </c>
      <c r="AN25" s="30">
        <f t="shared" si="5"/>
        <v>19.317808480273509</v>
      </c>
      <c r="AO25" s="30">
        <f t="shared" si="5"/>
        <v>17.931114925852164</v>
      </c>
      <c r="AP25" s="30">
        <f t="shared" si="5"/>
        <v>16.530435327154219</v>
      </c>
      <c r="AQ25" s="30">
        <f t="shared" si="5"/>
        <v>15.119534685547769</v>
      </c>
      <c r="AR25" s="30">
        <f t="shared" si="5"/>
        <v>13.701200310656594</v>
      </c>
      <c r="AS25" s="30">
        <f t="shared" si="5"/>
        <v>12.655109230496571</v>
      </c>
    </row>
    <row r="26" spans="1:45" ht="13" thickTop="1">
      <c r="A26" s="22"/>
      <c r="B26" s="28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</row>
    <row r="27" spans="1:45" ht="15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4" t="s">
        <v>60</v>
      </c>
      <c r="AA27" s="54"/>
      <c r="AB27" s="55"/>
      <c r="AC27" s="55"/>
      <c r="AD27" s="54" t="s">
        <v>54</v>
      </c>
      <c r="AE27" s="100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</row>
    <row r="28" spans="1:45" ht="15">
      <c r="A28" s="54" t="s">
        <v>11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 t="s">
        <v>57</v>
      </c>
      <c r="AA28" s="55" t="s">
        <v>58</v>
      </c>
      <c r="AB28" s="55" t="s">
        <v>59</v>
      </c>
      <c r="AC28" s="55" t="s">
        <v>53</v>
      </c>
      <c r="AD28" s="55" t="s">
        <v>55</v>
      </c>
      <c r="AE28" s="55" t="s">
        <v>56</v>
      </c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</row>
    <row r="29" spans="1:45">
      <c r="A29" s="56" t="s">
        <v>3</v>
      </c>
      <c r="B29" s="56" t="s">
        <v>0</v>
      </c>
      <c r="C29" s="55">
        <v>0</v>
      </c>
      <c r="D29" s="55">
        <v>2.5</v>
      </c>
      <c r="E29" s="55">
        <v>5.1100000000000003</v>
      </c>
      <c r="F29" s="55">
        <v>8.25</v>
      </c>
      <c r="G29" s="55">
        <v>12</v>
      </c>
      <c r="H29" s="55">
        <v>16</v>
      </c>
      <c r="I29" s="55">
        <v>20</v>
      </c>
      <c r="J29" s="55">
        <v>24</v>
      </c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>
        <f t="array" ref="Z29:AB29">LINEST(C29:J29, C3:J3^{1;2})</f>
        <v>2.4685714285714258E-4</v>
      </c>
      <c r="AA29" s="55">
        <v>9.5809523809523858E-2</v>
      </c>
      <c r="AB29" s="55">
        <v>-0.10083333333333533</v>
      </c>
      <c r="AC29" s="55">
        <f>AB29-AD29</f>
        <v>-0.10083333333333533</v>
      </c>
      <c r="AD29" s="55">
        <f>0/Parameters!$C$3*1000</f>
        <v>0</v>
      </c>
      <c r="AE29" s="55">
        <v>0</v>
      </c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</row>
    <row r="30" spans="1:45">
      <c r="A30" s="57"/>
      <c r="B30" s="58">
        <v>-2</v>
      </c>
      <c r="C30" s="55">
        <v>0</v>
      </c>
      <c r="D30" s="55">
        <v>0.25</v>
      </c>
      <c r="E30" s="55">
        <v>1.5</v>
      </c>
      <c r="F30" s="55">
        <v>3.5</v>
      </c>
      <c r="G30" s="55">
        <v>6</v>
      </c>
      <c r="H30" s="55">
        <v>9.2899999999999991</v>
      </c>
      <c r="I30" s="55">
        <v>13</v>
      </c>
      <c r="J30" s="55">
        <v>17</v>
      </c>
      <c r="K30" s="55">
        <v>21.2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>
        <f t="array" ref="Z30:AB30">LINEST(C30:K30, C3:K3^{1;2})</f>
        <v>4.5180952380952354E-4</v>
      </c>
      <c r="AA30" s="55">
        <v>1.8864761904761926E-2</v>
      </c>
      <c r="AB30" s="55">
        <v>-0.31599999999999984</v>
      </c>
      <c r="AC30" s="55">
        <f t="shared" ref="AC30:AC39" si="6">AB30-AD30</f>
        <v>-1.6493333333333331</v>
      </c>
      <c r="AD30" s="55">
        <f>-B30/Parameters!$C$3*1000</f>
        <v>1.3333333333333333</v>
      </c>
      <c r="AE30" s="55">
        <f t="shared" ref="AE30:AE37" si="7">(-AA30+(AA30^2-4*Z30*AC30)^0.5)/(2*Z30)</f>
        <v>43.047673542719721</v>
      </c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</row>
    <row r="31" spans="1:45">
      <c r="A31" s="55"/>
      <c r="B31" s="58">
        <v>-4</v>
      </c>
      <c r="C31" s="55"/>
      <c r="D31" s="55">
        <v>0</v>
      </c>
      <c r="E31" s="55">
        <v>0.2</v>
      </c>
      <c r="F31" s="55">
        <v>1</v>
      </c>
      <c r="G31" s="55">
        <v>2.5</v>
      </c>
      <c r="H31" s="55">
        <v>4.51</v>
      </c>
      <c r="I31" s="55">
        <v>7.5</v>
      </c>
      <c r="J31" s="55">
        <v>10.87</v>
      </c>
      <c r="K31" s="55">
        <v>14.5</v>
      </c>
      <c r="L31" s="55">
        <v>18.600000000000001</v>
      </c>
      <c r="M31" s="55">
        <v>23</v>
      </c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>
        <f t="array" ref="Z31:AB31">LINEST(D31:M31, D3:M3^{1;2})</f>
        <v>4.3360364113689587E-4</v>
      </c>
      <c r="AA31" s="55">
        <v>-1.4997417191688938E-2</v>
      </c>
      <c r="AB31" s="55">
        <v>-0.12330888138509444</v>
      </c>
      <c r="AC31" s="55">
        <f t="shared" si="6"/>
        <v>-2.789975548051761</v>
      </c>
      <c r="AD31" s="55">
        <f>-B31/Parameters!$C$3*1000</f>
        <v>2.6666666666666665</v>
      </c>
      <c r="AE31" s="55">
        <f t="shared" si="7"/>
        <v>99.351655563754008</v>
      </c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</row>
    <row r="32" spans="1:45">
      <c r="A32" s="55"/>
      <c r="B32" s="58">
        <v>-6</v>
      </c>
      <c r="C32" s="55"/>
      <c r="D32" s="55"/>
      <c r="E32" s="55">
        <v>0</v>
      </c>
      <c r="F32" s="55">
        <v>0.1</v>
      </c>
      <c r="G32" s="55">
        <v>0.75</v>
      </c>
      <c r="H32" s="55">
        <v>1.9</v>
      </c>
      <c r="I32" s="55">
        <v>3.64</v>
      </c>
      <c r="J32" s="55">
        <v>6.25</v>
      </c>
      <c r="K32" s="55">
        <v>9.4</v>
      </c>
      <c r="L32" s="55">
        <v>13</v>
      </c>
      <c r="M32" s="55">
        <v>17</v>
      </c>
      <c r="N32" s="55">
        <v>21</v>
      </c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>
        <f t="array" ref="Z32:AB32">LINEST(E32:N32, E3:N3^{1;2})</f>
        <v>4.4347124660993128E-4</v>
      </c>
      <c r="AA32" s="55">
        <v>-4.8893800303828554E-2</v>
      </c>
      <c r="AB32" s="55">
        <v>1.2355541595515742</v>
      </c>
      <c r="AC32" s="55">
        <f t="shared" si="6"/>
        <v>-2.7644458404484258</v>
      </c>
      <c r="AD32" s="55">
        <f>-B32/Parameters!$C$3*1000</f>
        <v>4</v>
      </c>
      <c r="AE32" s="55">
        <f t="shared" si="7"/>
        <v>151.42034033733691</v>
      </c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</row>
    <row r="33" spans="1:45">
      <c r="A33" s="55"/>
      <c r="B33" s="58">
        <v>-8</v>
      </c>
      <c r="C33" s="55"/>
      <c r="D33" s="55"/>
      <c r="E33" s="55"/>
      <c r="F33" s="55">
        <v>0</v>
      </c>
      <c r="G33" s="55">
        <v>0.1</v>
      </c>
      <c r="H33" s="55">
        <v>0.6</v>
      </c>
      <c r="I33" s="55">
        <v>1.6</v>
      </c>
      <c r="J33" s="55">
        <v>3.1</v>
      </c>
      <c r="K33" s="55">
        <v>5.2</v>
      </c>
      <c r="L33" s="55">
        <v>8.0399999999999991</v>
      </c>
      <c r="M33" s="55">
        <v>11.63</v>
      </c>
      <c r="N33" s="55">
        <v>15.5</v>
      </c>
      <c r="O33" s="55">
        <v>19.62</v>
      </c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>
        <f t="array" ref="Z33:AB33">LINEST(F33:O33, F3:O3^{1;2})</f>
        <v>4.5430025814390771E-4</v>
      </c>
      <c r="AA33" s="55">
        <v>-8.2961277139912235E-2</v>
      </c>
      <c r="AB33" s="55">
        <v>3.7668432146832949</v>
      </c>
      <c r="AC33" s="55">
        <f t="shared" si="6"/>
        <v>-1.5664901186500382</v>
      </c>
      <c r="AD33" s="55">
        <f>-B33/Parameters!$C$3*1000</f>
        <v>5.333333333333333</v>
      </c>
      <c r="AE33" s="55">
        <f t="shared" si="7"/>
        <v>199.86560203694216</v>
      </c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</row>
    <row r="34" spans="1:45">
      <c r="A34" s="55"/>
      <c r="B34" s="58">
        <v>-10</v>
      </c>
      <c r="C34" s="55"/>
      <c r="D34" s="55"/>
      <c r="E34" s="55"/>
      <c r="F34" s="55"/>
      <c r="G34" s="55"/>
      <c r="H34" s="55">
        <v>0</v>
      </c>
      <c r="I34" s="55">
        <v>0.5</v>
      </c>
      <c r="J34" s="55">
        <v>1.2</v>
      </c>
      <c r="K34" s="55">
        <v>2.61</v>
      </c>
      <c r="L34" s="55">
        <v>4.62</v>
      </c>
      <c r="M34" s="55">
        <v>7.17</v>
      </c>
      <c r="N34" s="55">
        <v>10.43</v>
      </c>
      <c r="O34" s="55">
        <v>14</v>
      </c>
      <c r="P34" s="55">
        <v>18</v>
      </c>
      <c r="Q34" s="55"/>
      <c r="R34" s="55"/>
      <c r="S34" s="55"/>
      <c r="T34" s="55"/>
      <c r="U34" s="55"/>
      <c r="V34" s="55"/>
      <c r="W34" s="55"/>
      <c r="X34" s="55"/>
      <c r="Y34" s="55"/>
      <c r="Z34" s="55">
        <f t="array" ref="Z34:AB34">LINEST(H34:P34, H3:P3^{1;2})</f>
        <v>4.4293944422715923E-4</v>
      </c>
      <c r="AA34" s="55">
        <v>-0.10897979578115709</v>
      </c>
      <c r="AB34" s="55">
        <v>6.7432955351182819</v>
      </c>
      <c r="AC34" s="55">
        <f t="shared" si="6"/>
        <v>7.6628868451614984E-2</v>
      </c>
      <c r="AD34" s="55">
        <f>-B34/Parameters!$C$3*1000</f>
        <v>6.666666666666667</v>
      </c>
      <c r="AE34" s="55">
        <f t="shared" si="7"/>
        <v>245.33251718072643</v>
      </c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</row>
    <row r="35" spans="1:45">
      <c r="A35" s="55"/>
      <c r="B35" s="58">
        <v>-12</v>
      </c>
      <c r="C35" s="55"/>
      <c r="D35" s="55"/>
      <c r="E35" s="55"/>
      <c r="F35" s="55"/>
      <c r="G35" s="55"/>
      <c r="H35" s="55"/>
      <c r="I35" s="55">
        <v>0</v>
      </c>
      <c r="J35" s="55">
        <v>0.4</v>
      </c>
      <c r="K35" s="55">
        <v>1</v>
      </c>
      <c r="L35" s="55">
        <v>2.39</v>
      </c>
      <c r="M35" s="55">
        <v>4.2</v>
      </c>
      <c r="N35" s="55">
        <v>6.74</v>
      </c>
      <c r="O35" s="55">
        <v>9.8000000000000007</v>
      </c>
      <c r="P35" s="55">
        <v>13</v>
      </c>
      <c r="Q35" s="55">
        <v>16.36</v>
      </c>
      <c r="R35" s="55"/>
      <c r="S35" s="55"/>
      <c r="T35" s="55"/>
      <c r="U35" s="55"/>
      <c r="V35" s="55"/>
      <c r="W35" s="55"/>
      <c r="X35" s="55"/>
      <c r="Y35" s="55"/>
      <c r="Z35" s="55">
        <f t="array" ref="Z35:AB35">LINEST(I35:Q35, I3:Q3^{1;2})</f>
        <v>3.9396903460153424E-4</v>
      </c>
      <c r="AA35" s="55">
        <v>-0.11348262380291514</v>
      </c>
      <c r="AB35" s="55">
        <v>8.0859802563513412</v>
      </c>
      <c r="AC35" s="55">
        <f t="shared" si="6"/>
        <v>8.5980256351341211E-2</v>
      </c>
      <c r="AD35" s="55">
        <f>-B35/Parameters!$C$3*1000</f>
        <v>8</v>
      </c>
      <c r="AE35" s="55">
        <f t="shared" si="7"/>
        <v>287.28994779245204</v>
      </c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</row>
    <row r="36" spans="1:45">
      <c r="A36" s="55"/>
      <c r="B36" s="58">
        <v>-14</v>
      </c>
      <c r="C36" s="55"/>
      <c r="D36" s="55"/>
      <c r="E36" s="55"/>
      <c r="F36" s="55"/>
      <c r="G36" s="55"/>
      <c r="H36" s="55"/>
      <c r="I36" s="55"/>
      <c r="J36" s="55">
        <v>0</v>
      </c>
      <c r="K36" s="55">
        <v>0.3</v>
      </c>
      <c r="L36" s="55">
        <v>1</v>
      </c>
      <c r="M36" s="55">
        <v>2.2799999999999998</v>
      </c>
      <c r="N36" s="55">
        <v>3.91</v>
      </c>
      <c r="O36" s="55">
        <v>5.87</v>
      </c>
      <c r="P36" s="55">
        <v>8.3699999999999992</v>
      </c>
      <c r="Q36" s="55">
        <v>11.41</v>
      </c>
      <c r="R36" s="55">
        <v>14.5</v>
      </c>
      <c r="S36" s="55"/>
      <c r="T36" s="55"/>
      <c r="U36" s="55"/>
      <c r="V36" s="55"/>
      <c r="W36" s="55"/>
      <c r="X36" s="55"/>
      <c r="Y36" s="55"/>
      <c r="Z36" s="55">
        <f t="array" ref="Z36:AB36">LINEST(J36:R36, J3:R3^{1;2})</f>
        <v>3.4054189938354478E-4</v>
      </c>
      <c r="AA36" s="55">
        <v>-0.11413658925705462</v>
      </c>
      <c r="AB36" s="55">
        <v>9.5036640965213017</v>
      </c>
      <c r="AC36" s="55">
        <f t="shared" si="6"/>
        <v>0.1703307631879678</v>
      </c>
      <c r="AD36" s="55">
        <f>-B36/Parameters!$C$3*1000</f>
        <v>9.3333333333333339</v>
      </c>
      <c r="AE36" s="55">
        <f t="shared" si="7"/>
        <v>333.66261672600143</v>
      </c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</row>
    <row r="37" spans="1:45">
      <c r="A37" s="55"/>
      <c r="B37" s="58">
        <v>-16</v>
      </c>
      <c r="C37" s="55"/>
      <c r="D37" s="55"/>
      <c r="E37" s="55"/>
      <c r="F37" s="55"/>
      <c r="G37" s="55"/>
      <c r="H37" s="55"/>
      <c r="I37" s="55"/>
      <c r="J37" s="55"/>
      <c r="K37" s="55">
        <v>0</v>
      </c>
      <c r="L37" s="55">
        <v>0.4</v>
      </c>
      <c r="M37" s="55">
        <v>1</v>
      </c>
      <c r="N37" s="55">
        <v>2</v>
      </c>
      <c r="O37" s="55">
        <v>3.4</v>
      </c>
      <c r="P37" s="55">
        <v>5.1100000000000003</v>
      </c>
      <c r="Q37" s="55">
        <v>7.39</v>
      </c>
      <c r="R37" s="55">
        <v>10.27</v>
      </c>
      <c r="S37" s="55"/>
      <c r="T37" s="55"/>
      <c r="U37" s="55"/>
      <c r="V37" s="55"/>
      <c r="W37" s="55"/>
      <c r="X37" s="55"/>
      <c r="Y37" s="55"/>
      <c r="Z37" s="55">
        <f t="array" ref="Z37:AB37">LINEST(K37:R37, K3:R3^{1;2})</f>
        <v>3.2681030048176666E-4</v>
      </c>
      <c r="AA37" s="55">
        <v>-0.13045406868878723</v>
      </c>
      <c r="AB37" s="55">
        <v>13.114201167418955</v>
      </c>
      <c r="AC37" s="55">
        <f t="shared" si="6"/>
        <v>2.4475345007522886</v>
      </c>
      <c r="AD37" s="55">
        <f>-B37/Parameters!$C$3*1000</f>
        <v>10.666666666666666</v>
      </c>
      <c r="AE37" s="55">
        <f t="shared" si="7"/>
        <v>379.43606913323129</v>
      </c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</row>
    <row r="38" spans="1:45">
      <c r="A38" s="55"/>
      <c r="B38" s="58">
        <v>-18</v>
      </c>
      <c r="C38" s="55"/>
      <c r="D38" s="55"/>
      <c r="E38" s="55"/>
      <c r="F38" s="55"/>
      <c r="G38" s="55"/>
      <c r="H38" s="55"/>
      <c r="I38" s="55"/>
      <c r="J38" s="55"/>
      <c r="K38" s="55"/>
      <c r="L38" s="55">
        <v>0</v>
      </c>
      <c r="M38" s="55">
        <v>0.4</v>
      </c>
      <c r="N38" s="55">
        <v>0.87</v>
      </c>
      <c r="O38" s="55">
        <v>1.68</v>
      </c>
      <c r="P38" s="55">
        <v>3</v>
      </c>
      <c r="Q38" s="55">
        <v>4.78</v>
      </c>
      <c r="R38" s="55">
        <v>7</v>
      </c>
      <c r="S38" s="55"/>
      <c r="T38" s="55"/>
      <c r="U38" s="55"/>
      <c r="V38" s="55"/>
      <c r="W38" s="55"/>
      <c r="X38" s="55"/>
      <c r="Y38" s="55"/>
      <c r="Z38" s="55">
        <f t="array" ref="Z38:AB38">LINEST(L38:R38, L3:R3^{1;2})</f>
        <v>3.1826696874719021E-4</v>
      </c>
      <c r="AA38" s="55">
        <v>-0.14541867213231047</v>
      </c>
      <c r="AB38" s="55">
        <v>16.719054642975689</v>
      </c>
      <c r="AC38" s="55">
        <f t="shared" si="6"/>
        <v>4.7190546429756886</v>
      </c>
      <c r="AD38" s="55">
        <f>-B38/Parameters!$C$3*1000</f>
        <v>12</v>
      </c>
      <c r="AE38" s="55">
        <f>(-AA38+(AA38^2-4*Z38*AC38)^0.5)/(2*Z38)</f>
        <v>421.75121834597678</v>
      </c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</row>
    <row r="39" spans="1:45">
      <c r="A39" s="55"/>
      <c r="B39" s="58">
        <v>-20</v>
      </c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>
        <v>0</v>
      </c>
      <c r="N39" s="55">
        <v>0.1</v>
      </c>
      <c r="O39" s="55">
        <v>0.6</v>
      </c>
      <c r="P39" s="55">
        <v>1.47</v>
      </c>
      <c r="Q39" s="55">
        <v>2.72</v>
      </c>
      <c r="R39" s="55">
        <v>4.51</v>
      </c>
      <c r="S39" s="55"/>
      <c r="T39" s="55"/>
      <c r="U39" s="55"/>
      <c r="V39" s="55"/>
      <c r="W39" s="55"/>
      <c r="X39" s="55"/>
      <c r="Y39" s="55"/>
      <c r="Z39" s="55">
        <f t="array" ref="Z39:AB39">LINEST(M39:R39, M3:R3^{1;2})</f>
        <v>3.2714285714285712E-4</v>
      </c>
      <c r="AA39" s="55">
        <v>-0.1687157142857143</v>
      </c>
      <c r="AB39" s="55">
        <v>21.746428571428581</v>
      </c>
      <c r="AC39" s="55">
        <f t="shared" si="6"/>
        <v>8.4130952380952468</v>
      </c>
      <c r="AD39" s="55">
        <f>-B39/Parameters!$C$3*1000</f>
        <v>13.333333333333334</v>
      </c>
      <c r="AE39" s="55">
        <f>(-AA39+(AA39^2-4*Z39*AC39)^0.5)/(2*Z39)</f>
        <v>459.79351223728298</v>
      </c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</row>
    <row r="40" spans="1:45">
      <c r="A40" s="55"/>
      <c r="B40" s="58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</row>
    <row r="41" spans="1:45">
      <c r="A41" s="55"/>
      <c r="B41" s="58" t="s">
        <v>17</v>
      </c>
      <c r="C41" s="55" t="s">
        <v>22</v>
      </c>
      <c r="D41" s="55">
        <f>('Valve Spec'!$B$3/'Graph Data'!D3)*1000</f>
        <v>110</v>
      </c>
      <c r="E41" s="55">
        <f>('Valve Spec'!$B$3/'Graph Data'!E3)*1000</f>
        <v>55</v>
      </c>
      <c r="F41" s="55">
        <f>('Valve Spec'!$B$3/'Graph Data'!F3)*1000</f>
        <v>36.666666666666664</v>
      </c>
      <c r="G41" s="55">
        <f>('Valve Spec'!$B$3/'Graph Data'!G3)*1000</f>
        <v>27.5</v>
      </c>
      <c r="H41" s="55">
        <f>('Valve Spec'!$B$3/'Graph Data'!H3)*1000</f>
        <v>22</v>
      </c>
      <c r="I41" s="55">
        <f>('Valve Spec'!$B$3/'Graph Data'!I3)*1000</f>
        <v>18.333333333333332</v>
      </c>
      <c r="J41" s="55">
        <f>('Valve Spec'!$B$3/'Graph Data'!J3)*1000</f>
        <v>15.714285714285715</v>
      </c>
      <c r="K41" s="55">
        <f>('Valve Spec'!$B$3/'Graph Data'!K3)*1000</f>
        <v>13.75</v>
      </c>
      <c r="L41" s="55">
        <f>('Valve Spec'!$B$3/'Graph Data'!L3)*1000</f>
        <v>12.162759840778417</v>
      </c>
      <c r="M41" s="55">
        <f>('Valve Spec'!$B$3/'Graph Data'!M3)*1000</f>
        <v>11</v>
      </c>
      <c r="N41" s="55">
        <f>('Valve Spec'!$B$3/'Graph Data'!N3)*1000</f>
        <v>10</v>
      </c>
      <c r="O41" s="55">
        <f>('Valve Spec'!$B$3/'Graph Data'!O3)*1000</f>
        <v>9.1666666666666661</v>
      </c>
      <c r="P41" s="55">
        <f>('Valve Spec'!$B$3/'Graph Data'!P3)*1000</f>
        <v>8.4615384615384617</v>
      </c>
      <c r="Q41" s="55">
        <f>('Valve Spec'!$B$3/'Graph Data'!Q3)*1000</f>
        <v>7.8571428571428577</v>
      </c>
      <c r="R41" s="55">
        <f>('Valve Spec'!$B$3/'Graph Data'!R3)*1000</f>
        <v>7.333333333333333</v>
      </c>
      <c r="S41" s="55">
        <f>('Valve Spec'!$B$3/'Graph Data'!S3)*1000</f>
        <v>6.875</v>
      </c>
      <c r="T41" s="55">
        <f>('Valve Spec'!$B$3/'Graph Data'!T3)*1000</f>
        <v>6.4705882352941178</v>
      </c>
      <c r="U41" s="55">
        <f>('Valve Spec'!$B$3/'Graph Data'!U3)*1000</f>
        <v>6.1111111111111116</v>
      </c>
      <c r="V41" s="55">
        <f>('Valve Spec'!$B$3/'Graph Data'!V3)*1000</f>
        <v>5.7894736842105265</v>
      </c>
      <c r="W41" s="55">
        <f>('Valve Spec'!$B$3/'Graph Data'!W3)*1000</f>
        <v>5.5</v>
      </c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</row>
    <row r="42" spans="1:45" ht="13" thickBot="1">
      <c r="A42" s="55"/>
      <c r="B42" s="58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9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</row>
    <row r="43" spans="1:45" ht="14" thickTop="1" thickBot="1">
      <c r="A43" s="55"/>
      <c r="B43" s="60" t="s">
        <v>21</v>
      </c>
      <c r="C43" s="61">
        <v>10</v>
      </c>
      <c r="D43" s="61">
        <f>C43*1.18</f>
        <v>11.799999999999999</v>
      </c>
      <c r="E43" s="61">
        <f t="shared" ref="E43:AR43" si="8">D43*1.18</f>
        <v>13.923999999999998</v>
      </c>
      <c r="F43" s="61">
        <f t="shared" si="8"/>
        <v>16.430319999999995</v>
      </c>
      <c r="G43" s="61">
        <f t="shared" si="8"/>
        <v>19.387777599999993</v>
      </c>
      <c r="H43" s="61">
        <f t="shared" si="8"/>
        <v>22.877577567999989</v>
      </c>
      <c r="I43" s="61">
        <f t="shared" si="8"/>
        <v>26.995541530239986</v>
      </c>
      <c r="J43" s="61">
        <f t="shared" si="8"/>
        <v>31.854739005683182</v>
      </c>
      <c r="K43" s="61">
        <f t="shared" si="8"/>
        <v>37.588592026706152</v>
      </c>
      <c r="L43" s="61">
        <f t="shared" si="8"/>
        <v>44.354538591513254</v>
      </c>
      <c r="M43" s="61">
        <f t="shared" si="8"/>
        <v>52.338355537985635</v>
      </c>
      <c r="N43" s="61">
        <f t="shared" si="8"/>
        <v>61.759259534823045</v>
      </c>
      <c r="O43" s="61">
        <f t="shared" si="8"/>
        <v>72.875926251091187</v>
      </c>
      <c r="P43" s="61">
        <f t="shared" si="8"/>
        <v>85.993592976287601</v>
      </c>
      <c r="Q43" s="61">
        <f t="shared" si="8"/>
        <v>101.47243971201937</v>
      </c>
      <c r="R43" s="61">
        <f t="shared" si="8"/>
        <v>119.73747886018285</v>
      </c>
      <c r="S43" s="61">
        <f t="shared" si="8"/>
        <v>141.29022505501575</v>
      </c>
      <c r="T43" s="61">
        <f t="shared" si="8"/>
        <v>166.72246556491859</v>
      </c>
      <c r="U43" s="61">
        <f t="shared" si="8"/>
        <v>196.73250936660392</v>
      </c>
      <c r="V43" s="61">
        <f t="shared" si="8"/>
        <v>232.14436105259261</v>
      </c>
      <c r="W43" s="61">
        <f t="shared" si="8"/>
        <v>273.93034604205928</v>
      </c>
      <c r="X43" s="61">
        <f t="shared" si="8"/>
        <v>323.23780832962996</v>
      </c>
      <c r="Y43" s="61">
        <f t="shared" si="8"/>
        <v>381.42061382896333</v>
      </c>
      <c r="Z43" s="61">
        <f t="shared" si="8"/>
        <v>450.07632431817672</v>
      </c>
      <c r="AA43" s="61">
        <f t="shared" si="8"/>
        <v>531.09006269544852</v>
      </c>
      <c r="AB43" s="61">
        <f t="shared" si="8"/>
        <v>626.68627398062927</v>
      </c>
      <c r="AC43" s="61">
        <f t="shared" si="8"/>
        <v>739.48980329714254</v>
      </c>
      <c r="AD43" s="61">
        <f t="shared" si="8"/>
        <v>872.59796789062818</v>
      </c>
      <c r="AE43" s="61">
        <f t="shared" si="8"/>
        <v>1029.6656021109411</v>
      </c>
      <c r="AF43" s="61">
        <f t="shared" si="8"/>
        <v>1215.0054104909104</v>
      </c>
      <c r="AG43" s="61">
        <f t="shared" si="8"/>
        <v>1433.7063843792741</v>
      </c>
      <c r="AH43" s="61">
        <f t="shared" si="8"/>
        <v>1691.7735335675434</v>
      </c>
      <c r="AI43" s="61">
        <f t="shared" si="8"/>
        <v>1996.2927696097011</v>
      </c>
      <c r="AJ43" s="61">
        <f t="shared" si="8"/>
        <v>2355.6254681394471</v>
      </c>
      <c r="AK43" s="61">
        <f t="shared" si="8"/>
        <v>2779.6380524045476</v>
      </c>
      <c r="AL43" s="61">
        <f t="shared" si="8"/>
        <v>3279.972901837366</v>
      </c>
      <c r="AM43" s="61">
        <f t="shared" si="8"/>
        <v>3870.3680241680918</v>
      </c>
      <c r="AN43" s="61">
        <f t="shared" si="8"/>
        <v>4567.0342685183477</v>
      </c>
      <c r="AO43" s="61">
        <f t="shared" si="8"/>
        <v>5389.1004368516496</v>
      </c>
      <c r="AP43" s="61">
        <f t="shared" si="8"/>
        <v>6359.1385154849459</v>
      </c>
      <c r="AQ43" s="61">
        <f t="shared" si="8"/>
        <v>7503.7834482722355</v>
      </c>
      <c r="AR43" s="61">
        <f t="shared" si="8"/>
        <v>8854.4644689612378</v>
      </c>
      <c r="AS43" s="61">
        <v>10000</v>
      </c>
    </row>
    <row r="44" spans="1:45" ht="40.5" customHeight="1" thickTop="1" thickBot="1">
      <c r="A44" s="62" t="s">
        <v>34</v>
      </c>
      <c r="B44" s="60" t="s">
        <v>32</v>
      </c>
      <c r="C44" s="61">
        <f>1+((2*PI()*C43*(Parameters!$D$3/1000000)*Parameters!$C$3)^2)</f>
        <v>5.2991996771145251</v>
      </c>
      <c r="D44" s="61">
        <f>1+((2*PI()*D43*(Parameters!$D$3/1000000)*Parameters!$C$3)^2)</f>
        <v>6.9862056304142612</v>
      </c>
      <c r="E44" s="61">
        <f>1+((2*PI()*E43*(Parameters!$D$3/1000000)*Parameters!$C$3)^2)</f>
        <v>9.335192719788818</v>
      </c>
      <c r="F44" s="61">
        <f>1+((2*PI()*F43*(Parameters!$D$3/1000000)*Parameters!$C$3)^2)</f>
        <v>12.605922343033949</v>
      </c>
      <c r="G44" s="61">
        <f>1+((2*PI()*G43*(Parameters!$D$3/1000000)*Parameters!$C$3)^2)</f>
        <v>17.160086270440466</v>
      </c>
      <c r="H44" s="61">
        <f>1+((2*PI()*H43*(Parameters!$D$3/1000000)*Parameters!$C$3)^2)</f>
        <v>23.501304122961301</v>
      </c>
      <c r="I44" s="61">
        <f>1+((2*PI()*I43*(Parameters!$D$3/1000000)*Parameters!$C$3)^2)</f>
        <v>32.330815860811306</v>
      </c>
      <c r="J44" s="61">
        <f>1+((2*PI()*J43*(Parameters!$D$3/1000000)*Parameters!$C$3)^2)</f>
        <v>44.625028004593673</v>
      </c>
      <c r="K44" s="61">
        <f>1+((2*PI()*K43*(Parameters!$D$3/1000000)*Parameters!$C$3)^2)</f>
        <v>61.743488993596216</v>
      </c>
      <c r="L44" s="61">
        <f>1+((2*PI()*L43*(Parameters!$D$3/1000000)*Parameters!$C$3)^2)</f>
        <v>85.57923407468337</v>
      </c>
      <c r="M44" s="61">
        <f>1+((2*PI()*M43*(Parameters!$D$3/1000000)*Parameters!$C$3)^2)</f>
        <v>118.76812552558904</v>
      </c>
      <c r="N44" s="61">
        <f>1+((2*PI()*N43*(Parameters!$D$3/1000000)*Parameters!$C$3)^2)</f>
        <v>164.98033798183019</v>
      </c>
      <c r="O44" s="61">
        <f>1+((2*PI()*O43*(Parameters!$D$3/1000000)*Parameters!$C$3)^2)</f>
        <v>229.32622260590031</v>
      </c>
      <c r="P44" s="61">
        <f>1+((2*PI()*P43*(Parameters!$D$3/1000000)*Parameters!$C$3)^2)</f>
        <v>318.92143235645563</v>
      </c>
      <c r="Q44" s="61">
        <f>1+((2*PI()*Q43*(Parameters!$D$3/1000000)*Parameters!$C$3)^2)</f>
        <v>443.67380241312867</v>
      </c>
      <c r="R44" s="61">
        <f>1+((2*PI()*R43*(Parameters!$D$3/1000000)*Parameters!$C$3)^2)</f>
        <v>617.37900248004019</v>
      </c>
      <c r="S44" s="61">
        <f>1+((2*PI()*S43*(Parameters!$D$3/1000000)*Parameters!$C$3)^2)</f>
        <v>859.24612305320841</v>
      </c>
      <c r="T44" s="61">
        <f>1+((2*PI()*T43*(Parameters!$D$3/1000000)*Parameters!$C$3)^2)</f>
        <v>1196.0219017392872</v>
      </c>
      <c r="U44" s="61">
        <f>1+((2*PI()*U43*(Parameters!$D$3/1000000)*Parameters!$C$3)^2)</f>
        <v>1664.948495981783</v>
      </c>
      <c r="V44" s="61">
        <f>1+((2*PI()*V43*(Parameters!$D$3/1000000)*Parameters!$C$3)^2)</f>
        <v>2317.8818858050349</v>
      </c>
      <c r="W44" s="61">
        <f>1+((2*PI()*W43*(Parameters!$D$3/1000000)*Parameters!$C$3)^2)</f>
        <v>3227.0263377949309</v>
      </c>
      <c r="X44" s="61">
        <f>1+((2*PI()*X43*(Parameters!$D$3/1000000)*Parameters!$C$3)^2)</f>
        <v>4492.9190727456598</v>
      </c>
      <c r="Y44" s="61">
        <f>1+((2*PI()*Y43*(Parameters!$D$3/1000000)*Parameters!$C$3)^2)</f>
        <v>6255.5481168910574</v>
      </c>
      <c r="Z44" s="61">
        <f>1+((2*PI()*Z43*(Parameters!$D$3/1000000)*Parameters!$C$3)^2)</f>
        <v>8709.8327979591068</v>
      </c>
      <c r="AA44" s="61">
        <f>1+((2*PI()*AA43*(Parameters!$D$3/1000000)*Parameters!$C$3)^2)</f>
        <v>12127.17878787826</v>
      </c>
      <c r="AB44" s="61">
        <f>1+((2*PI()*AB43*(Parameters!$D$3/1000000)*Parameters!$C$3)^2)</f>
        <v>16885.491344241695</v>
      </c>
      <c r="AC44" s="61">
        <f>1+((2*PI()*AC43*(Parameters!$D$3/1000000)*Parameters!$C$3)^2)</f>
        <v>23510.965747722134</v>
      </c>
      <c r="AD44" s="61">
        <f>1+((2*PI()*AD43*(Parameters!$D$3/1000000)*Parameters!$C$3)^2)</f>
        <v>32736.27630712829</v>
      </c>
      <c r="AE44" s="61">
        <f>1+((2*PI()*AE43*(Parameters!$D$3/1000000)*Parameters!$C$3)^2)</f>
        <v>45581.598730045422</v>
      </c>
      <c r="AF44" s="61">
        <f>1+((2*PI()*AF43*(Parameters!$D$3/1000000)*Parameters!$C$3)^2)</f>
        <v>63467.425671715253</v>
      </c>
      <c r="AG44" s="61">
        <f>1+((2*PI()*AG43*(Parameters!$D$3/1000000)*Parameters!$C$3)^2)</f>
        <v>88371.651105296289</v>
      </c>
      <c r="AH44" s="61">
        <f>1+((2*PI()*AH43*(Parameters!$D$3/1000000)*Parameters!$C$3)^2)</f>
        <v>123048.29459901452</v>
      </c>
      <c r="AI44" s="61">
        <f>1+((2*PI()*AI43*(Parameters!$D$3/1000000)*Parameters!$C$3)^2)</f>
        <v>171332.05299966782</v>
      </c>
      <c r="AJ44" s="61">
        <f>1+((2*PI()*AJ43*(Parameters!$D$3/1000000)*Parameters!$C$3)^2)</f>
        <v>238562.35819673745</v>
      </c>
      <c r="AK44" s="61">
        <f>1+((2*PI()*AK43*(Parameters!$D$3/1000000)*Parameters!$C$3)^2)</f>
        <v>332173.83515313722</v>
      </c>
      <c r="AL44" s="61">
        <f>1+((2*PI()*AL43*(Parameters!$D$3/1000000)*Parameters!$C$3)^2)</f>
        <v>462518.45566722821</v>
      </c>
      <c r="AM44" s="61">
        <f>1+((2*PI()*AM43*(Parameters!$D$3/1000000)*Parameters!$C$3)^2)</f>
        <v>644010.30527104856</v>
      </c>
      <c r="AN44" s="61">
        <f>1+((2*PI()*AN43*(Parameters!$D$3/1000000)*Parameters!$C$3)^2)</f>
        <v>896719.55665940756</v>
      </c>
      <c r="AO44" s="61">
        <f>1+((2*PI()*AO43*(Parameters!$D$3/1000000)*Parameters!$C$3)^2)</f>
        <v>1248591.918292559</v>
      </c>
      <c r="AP44" s="61">
        <f>1+((2*PI()*AP43*(Parameters!$D$3/1000000)*Parameters!$C$3)^2)</f>
        <v>1738538.9946305586</v>
      </c>
      <c r="AQ44" s="61">
        <f>1+((2*PI()*AQ43*(Parameters!$D$3/1000000)*Parameters!$C$3)^2)</f>
        <v>2420741.3037235891</v>
      </c>
      <c r="AR44" s="61">
        <f>1+((2*PI()*AR43*(Parameters!$D$3/1000000)*Parameters!$C$3)^2)</f>
        <v>3370639.7989047267</v>
      </c>
      <c r="AS44" s="61">
        <f>1+((2*PI()*AS43*(Parameters!$D$3/1000000)*Parameters!$C$3)^2)</f>
        <v>4299200.677114523</v>
      </c>
    </row>
    <row r="45" spans="1:45" ht="14" thickTop="1" thickBot="1">
      <c r="A45" s="55"/>
      <c r="B45" s="60" t="s">
        <v>31</v>
      </c>
      <c r="C45" s="61">
        <f>(1+((('Valve Spec'!$D$3+1)*Parameters!$C$3)/('Valve Spec'!$E$3+(1/((1/Parameters!$B$3)+(1/Parameters!$G$3))))))^2</f>
        <v>1.9373876101180865</v>
      </c>
      <c r="D45" s="61">
        <f>(1+((('Valve Spec'!$D$3+1)*Parameters!$C$3)/('Valve Spec'!$E$3+(1/((1/Parameters!$B$3)+(1/Parameters!$G$3))))))^2</f>
        <v>1.9373876101180865</v>
      </c>
      <c r="E45" s="61">
        <f>(1+((('Valve Spec'!$D$3+1)*Parameters!$C$3)/('Valve Spec'!$E$3+(1/((1/Parameters!$B$3)+(1/Parameters!$G$3))))))^2</f>
        <v>1.9373876101180865</v>
      </c>
      <c r="F45" s="61">
        <f>(1+((('Valve Spec'!$D$3+1)*Parameters!$C$3)/('Valve Spec'!$E$3+(1/((1/Parameters!$B$3)+(1/Parameters!$G$3))))))^2</f>
        <v>1.9373876101180865</v>
      </c>
      <c r="G45" s="61">
        <f>(1+((('Valve Spec'!$D$3+1)*Parameters!$C$3)/('Valve Spec'!$E$3+(1/((1/Parameters!$B$3)+(1/Parameters!$G$3))))))^2</f>
        <v>1.9373876101180865</v>
      </c>
      <c r="H45" s="61">
        <f>(1+((('Valve Spec'!$D$3+1)*Parameters!$C$3)/('Valve Spec'!$E$3+(1/((1/Parameters!$B$3)+(1/Parameters!$G$3))))))^2</f>
        <v>1.9373876101180865</v>
      </c>
      <c r="I45" s="61">
        <f>(1+((('Valve Spec'!$D$3+1)*Parameters!$C$3)/('Valve Spec'!$E$3+(1/((1/Parameters!$B$3)+(1/Parameters!$G$3))))))^2</f>
        <v>1.9373876101180865</v>
      </c>
      <c r="J45" s="61">
        <f>(1+((('Valve Spec'!$D$3+1)*Parameters!$C$3)/('Valve Spec'!$E$3+(1/((1/Parameters!$B$3)+(1/Parameters!$G$3))))))^2</f>
        <v>1.9373876101180865</v>
      </c>
      <c r="K45" s="61">
        <f>(1+((('Valve Spec'!$D$3+1)*Parameters!$C$3)/('Valve Spec'!$E$3+(1/((1/Parameters!$B$3)+(1/Parameters!$G$3))))))^2</f>
        <v>1.9373876101180865</v>
      </c>
      <c r="L45" s="61">
        <f>(1+((('Valve Spec'!$D$3+1)*Parameters!$C$3)/('Valve Spec'!$E$3+(1/((1/Parameters!$B$3)+(1/Parameters!$G$3))))))^2</f>
        <v>1.9373876101180865</v>
      </c>
      <c r="M45" s="61">
        <f>(1+((('Valve Spec'!$D$3+1)*Parameters!$C$3)/('Valve Spec'!$E$3+(1/((1/Parameters!$B$3)+(1/Parameters!$G$3))))))^2</f>
        <v>1.9373876101180865</v>
      </c>
      <c r="N45" s="61">
        <f>(1+((('Valve Spec'!$D$3+1)*Parameters!$C$3)/('Valve Spec'!$E$3+(1/((1/Parameters!$B$3)+(1/Parameters!$G$3))))))^2</f>
        <v>1.9373876101180865</v>
      </c>
      <c r="O45" s="61">
        <f>(1+((('Valve Spec'!$D$3+1)*Parameters!$C$3)/('Valve Spec'!$E$3+(1/((1/Parameters!$B$3)+(1/Parameters!$G$3))))))^2</f>
        <v>1.9373876101180865</v>
      </c>
      <c r="P45" s="61">
        <f>(1+((('Valve Spec'!$D$3+1)*Parameters!$C$3)/('Valve Spec'!$E$3+(1/((1/Parameters!$B$3)+(1/Parameters!$G$3))))))^2</f>
        <v>1.9373876101180865</v>
      </c>
      <c r="Q45" s="61">
        <f>(1+((('Valve Spec'!$D$3+1)*Parameters!$C$3)/('Valve Spec'!$E$3+(1/((1/Parameters!$B$3)+(1/Parameters!$G$3))))))^2</f>
        <v>1.9373876101180865</v>
      </c>
      <c r="R45" s="61">
        <f>(1+((('Valve Spec'!$D$3+1)*Parameters!$C$3)/('Valve Spec'!$E$3+(1/((1/Parameters!$B$3)+(1/Parameters!$G$3))))))^2</f>
        <v>1.9373876101180865</v>
      </c>
      <c r="S45" s="61">
        <f>(1+((('Valve Spec'!$D$3+1)*Parameters!$C$3)/('Valve Spec'!$E$3+(1/((1/Parameters!$B$3)+(1/Parameters!$G$3))))))^2</f>
        <v>1.9373876101180865</v>
      </c>
      <c r="T45" s="61">
        <f>(1+((('Valve Spec'!$D$3+1)*Parameters!$C$3)/('Valve Spec'!$E$3+(1/((1/Parameters!$B$3)+(1/Parameters!$G$3))))))^2</f>
        <v>1.9373876101180865</v>
      </c>
      <c r="U45" s="61">
        <f>(1+((('Valve Spec'!$D$3+1)*Parameters!$C$3)/('Valve Spec'!$E$3+(1/((1/Parameters!$B$3)+(1/Parameters!$G$3))))))^2</f>
        <v>1.9373876101180865</v>
      </c>
      <c r="V45" s="61">
        <f>(1+((('Valve Spec'!$D$3+1)*Parameters!$C$3)/('Valve Spec'!$E$3+(1/((1/Parameters!$B$3)+(1/Parameters!$G$3))))))^2</f>
        <v>1.9373876101180865</v>
      </c>
      <c r="W45" s="61">
        <f>(1+((('Valve Spec'!$D$3+1)*Parameters!$C$3)/('Valve Spec'!$E$3+(1/((1/Parameters!$B$3)+(1/Parameters!$G$3))))))^2</f>
        <v>1.9373876101180865</v>
      </c>
      <c r="X45" s="61">
        <f>(1+((('Valve Spec'!$D$3+1)*Parameters!$C$3)/('Valve Spec'!$E$3+(1/((1/Parameters!$B$3)+(1/Parameters!$G$3))))))^2</f>
        <v>1.9373876101180865</v>
      </c>
      <c r="Y45" s="61">
        <f>(1+((('Valve Spec'!$D$3+1)*Parameters!$C$3)/('Valve Spec'!$E$3+(1/((1/Parameters!$B$3)+(1/Parameters!$G$3))))))^2</f>
        <v>1.9373876101180865</v>
      </c>
      <c r="Z45" s="61">
        <f>(1+((('Valve Spec'!$D$3+1)*Parameters!$C$3)/('Valve Spec'!$E$3+(1/((1/Parameters!$B$3)+(1/Parameters!$G$3))))))^2</f>
        <v>1.9373876101180865</v>
      </c>
      <c r="AA45" s="61">
        <f>(1+((('Valve Spec'!$D$3+1)*Parameters!$C$3)/('Valve Spec'!$E$3+(1/((1/Parameters!$B$3)+(1/Parameters!$G$3))))))^2</f>
        <v>1.9373876101180865</v>
      </c>
      <c r="AB45" s="61">
        <f>(1+((('Valve Spec'!$D$3+1)*Parameters!$C$3)/('Valve Spec'!$E$3+(1/((1/Parameters!$B$3)+(1/Parameters!$G$3))))))^2</f>
        <v>1.9373876101180865</v>
      </c>
      <c r="AC45" s="61">
        <f>(1+((('Valve Spec'!$D$3+1)*Parameters!$C$3)/('Valve Spec'!$E$3+(1/((1/Parameters!$B$3)+(1/Parameters!$G$3))))))^2</f>
        <v>1.9373876101180865</v>
      </c>
      <c r="AD45" s="61">
        <f>(1+((('Valve Spec'!$D$3+1)*Parameters!$C$3)/('Valve Spec'!$E$3+(1/((1/Parameters!$B$3)+(1/Parameters!$G$3))))))^2</f>
        <v>1.9373876101180865</v>
      </c>
      <c r="AE45" s="61">
        <f>(1+((('Valve Spec'!$D$3+1)*Parameters!$C$3)/('Valve Spec'!$E$3+(1/((1/Parameters!$B$3)+(1/Parameters!$G$3))))))^2</f>
        <v>1.9373876101180865</v>
      </c>
      <c r="AF45" s="61">
        <f>(1+((('Valve Spec'!$D$3+1)*Parameters!$C$3)/('Valve Spec'!$E$3+(1/((1/Parameters!$B$3)+(1/Parameters!$G$3))))))^2</f>
        <v>1.9373876101180865</v>
      </c>
      <c r="AG45" s="61">
        <f>(1+((('Valve Spec'!$D$3+1)*Parameters!$C$3)/('Valve Spec'!$E$3+(1/((1/Parameters!$B$3)+(1/Parameters!$G$3))))))^2</f>
        <v>1.9373876101180865</v>
      </c>
      <c r="AH45" s="61">
        <f>(1+((('Valve Spec'!$D$3+1)*Parameters!$C$3)/('Valve Spec'!$E$3+(1/((1/Parameters!$B$3)+(1/Parameters!$G$3))))))^2</f>
        <v>1.9373876101180865</v>
      </c>
      <c r="AI45" s="61">
        <f>(1+((('Valve Spec'!$D$3+1)*Parameters!$C$3)/('Valve Spec'!$E$3+(1/((1/Parameters!$B$3)+(1/Parameters!$G$3))))))^2</f>
        <v>1.9373876101180865</v>
      </c>
      <c r="AJ45" s="61">
        <f>(1+((('Valve Spec'!$D$3+1)*Parameters!$C$3)/('Valve Spec'!$E$3+(1/((1/Parameters!$B$3)+(1/Parameters!$G$3))))))^2</f>
        <v>1.9373876101180865</v>
      </c>
      <c r="AK45" s="61">
        <f>(1+((('Valve Spec'!$D$3+1)*Parameters!$C$3)/('Valve Spec'!$E$3+(1/((1/Parameters!$B$3)+(1/Parameters!$G$3))))))^2</f>
        <v>1.9373876101180865</v>
      </c>
      <c r="AL45" s="61">
        <f>(1+((('Valve Spec'!$D$3+1)*Parameters!$C$3)/('Valve Spec'!$E$3+(1/((1/Parameters!$B$3)+(1/Parameters!$G$3))))))^2</f>
        <v>1.9373876101180865</v>
      </c>
      <c r="AM45" s="61">
        <f>(1+((('Valve Spec'!$D$3+1)*Parameters!$C$3)/('Valve Spec'!$E$3+(1/((1/Parameters!$B$3)+(1/Parameters!$G$3))))))^2</f>
        <v>1.9373876101180865</v>
      </c>
      <c r="AN45" s="61">
        <f>(1+((('Valve Spec'!$D$3+1)*Parameters!$C$3)/('Valve Spec'!$E$3+(1/((1/Parameters!$B$3)+(1/Parameters!$G$3))))))^2</f>
        <v>1.9373876101180865</v>
      </c>
      <c r="AO45" s="61">
        <f>(1+((('Valve Spec'!$D$3+1)*Parameters!$C$3)/('Valve Spec'!$E$3+(1/((1/Parameters!$B$3)+(1/Parameters!$G$3))))))^2</f>
        <v>1.9373876101180865</v>
      </c>
      <c r="AP45" s="61">
        <f>(1+((('Valve Spec'!$D$3+1)*Parameters!$C$3)/('Valve Spec'!$E$3+(1/((1/Parameters!$B$3)+(1/Parameters!$G$3))))))^2</f>
        <v>1.9373876101180865</v>
      </c>
      <c r="AQ45" s="61">
        <f>(1+((('Valve Spec'!$D$3+1)*Parameters!$C$3)/('Valve Spec'!$E$3+(1/((1/Parameters!$B$3)+(1/Parameters!$G$3))))))^2</f>
        <v>1.9373876101180865</v>
      </c>
      <c r="AR45" s="61">
        <f>(1+((('Valve Spec'!$D$3+1)*Parameters!$C$3)/('Valve Spec'!$E$3+(1/((1/Parameters!$B$3)+(1/Parameters!$G$3))))))^2</f>
        <v>1.9373876101180865</v>
      </c>
      <c r="AS45" s="61">
        <f>(1+((('Valve Spec'!$D$3+1)*Parameters!$C$3)/('Valve Spec'!$E$3+(1/((1/Parameters!$B$3)+(1/Parameters!$G$3))))))^2</f>
        <v>1.9373876101180865</v>
      </c>
    </row>
    <row r="46" spans="1:45" ht="14" thickTop="1" thickBot="1">
      <c r="A46" s="55"/>
      <c r="B46" s="60" t="s">
        <v>33</v>
      </c>
      <c r="C46" s="61">
        <f>(2*PI()*C43*(Parameters!$D$3/1000000)*Parameters!$C$3)^2</f>
        <v>4.2991996771145251</v>
      </c>
      <c r="D46" s="61">
        <f>(2*PI()*D43*(Parameters!$D$3/1000000)*Parameters!$C$3)^2</f>
        <v>5.9862056304142612</v>
      </c>
      <c r="E46" s="61">
        <f>(2*PI()*E43*(Parameters!$D$3/1000000)*Parameters!$C$3)^2</f>
        <v>8.335192719788818</v>
      </c>
      <c r="F46" s="61">
        <f>(2*PI()*F43*(Parameters!$D$3/1000000)*Parameters!$C$3)^2</f>
        <v>11.605922343033949</v>
      </c>
      <c r="G46" s="61">
        <f>(2*PI()*G43*(Parameters!$D$3/1000000)*Parameters!$C$3)^2</f>
        <v>16.160086270440466</v>
      </c>
      <c r="H46" s="61">
        <f>(2*PI()*H43*(Parameters!$D$3/1000000)*Parameters!$C$3)^2</f>
        <v>22.501304122961301</v>
      </c>
      <c r="I46" s="61">
        <f>(2*PI()*I43*(Parameters!$D$3/1000000)*Parameters!$C$3)^2</f>
        <v>31.330815860811306</v>
      </c>
      <c r="J46" s="61">
        <f>(2*PI()*J43*(Parameters!$D$3/1000000)*Parameters!$C$3)^2</f>
        <v>43.625028004593673</v>
      </c>
      <c r="K46" s="61">
        <f>(2*PI()*K43*(Parameters!$D$3/1000000)*Parameters!$C$3)^2</f>
        <v>60.743488993596216</v>
      </c>
      <c r="L46" s="61">
        <f>(2*PI()*L43*(Parameters!$D$3/1000000)*Parameters!$C$3)^2</f>
        <v>84.57923407468337</v>
      </c>
      <c r="M46" s="61">
        <f>(2*PI()*M43*(Parameters!$D$3/1000000)*Parameters!$C$3)^2</f>
        <v>117.76812552558904</v>
      </c>
      <c r="N46" s="61">
        <f>(2*PI()*N43*(Parameters!$D$3/1000000)*Parameters!$C$3)^2</f>
        <v>163.98033798183019</v>
      </c>
      <c r="O46" s="61">
        <f>(2*PI()*O43*(Parameters!$D$3/1000000)*Parameters!$C$3)^2</f>
        <v>228.32622260590031</v>
      </c>
      <c r="P46" s="61">
        <f>(2*PI()*P43*(Parameters!$D$3/1000000)*Parameters!$C$3)^2</f>
        <v>317.92143235645563</v>
      </c>
      <c r="Q46" s="61">
        <f>(2*PI()*Q43*(Parameters!$D$3/1000000)*Parameters!$C$3)^2</f>
        <v>442.67380241312867</v>
      </c>
      <c r="R46" s="61">
        <f>(2*PI()*R43*(Parameters!$D$3/1000000)*Parameters!$C$3)^2</f>
        <v>616.37900248004019</v>
      </c>
      <c r="S46" s="61">
        <f>(2*PI()*S43*(Parameters!$D$3/1000000)*Parameters!$C$3)^2</f>
        <v>858.24612305320841</v>
      </c>
      <c r="T46" s="61">
        <f>(2*PI()*T43*(Parameters!$D$3/1000000)*Parameters!$C$3)^2</f>
        <v>1195.0219017392872</v>
      </c>
      <c r="U46" s="61">
        <f>(2*PI()*U43*(Parameters!$D$3/1000000)*Parameters!$C$3)^2</f>
        <v>1663.948495981783</v>
      </c>
      <c r="V46" s="61">
        <f>(2*PI()*V43*(Parameters!$D$3/1000000)*Parameters!$C$3)^2</f>
        <v>2316.8818858050349</v>
      </c>
      <c r="W46" s="61">
        <f>(2*PI()*W43*(Parameters!$D$3/1000000)*Parameters!$C$3)^2</f>
        <v>3226.0263377949309</v>
      </c>
      <c r="X46" s="61">
        <f>(2*PI()*X43*(Parameters!$D$3/1000000)*Parameters!$C$3)^2</f>
        <v>4491.9190727456598</v>
      </c>
      <c r="Y46" s="61">
        <f>(2*PI()*Y43*(Parameters!$D$3/1000000)*Parameters!$C$3)^2</f>
        <v>6254.5481168910574</v>
      </c>
      <c r="Z46" s="61">
        <f>(2*PI()*Z43*(Parameters!$D$3/1000000)*Parameters!$C$3)^2</f>
        <v>8708.8327979591068</v>
      </c>
      <c r="AA46" s="61">
        <f>(2*PI()*AA43*(Parameters!$D$3/1000000)*Parameters!$C$3)^2</f>
        <v>12126.17878787826</v>
      </c>
      <c r="AB46" s="61">
        <f>(2*PI()*AB43*(Parameters!$D$3/1000000)*Parameters!$C$3)^2</f>
        <v>16884.491344241695</v>
      </c>
      <c r="AC46" s="61">
        <f>(2*PI()*AC43*(Parameters!$D$3/1000000)*Parameters!$C$3)^2</f>
        <v>23509.965747722134</v>
      </c>
      <c r="AD46" s="61">
        <f>(2*PI()*AD43*(Parameters!$D$3/1000000)*Parameters!$C$3)^2</f>
        <v>32735.27630712829</v>
      </c>
      <c r="AE46" s="61">
        <f>(2*PI()*AE43*(Parameters!$D$3/1000000)*Parameters!$C$3)^2</f>
        <v>45580.598730045422</v>
      </c>
      <c r="AF46" s="61">
        <f>(2*PI()*AF43*(Parameters!$D$3/1000000)*Parameters!$C$3)^2</f>
        <v>63466.425671715253</v>
      </c>
      <c r="AG46" s="61">
        <f>(2*PI()*AG43*(Parameters!$D$3/1000000)*Parameters!$C$3)^2</f>
        <v>88370.651105296289</v>
      </c>
      <c r="AH46" s="61">
        <f>(2*PI()*AH43*(Parameters!$D$3/1000000)*Parameters!$C$3)^2</f>
        <v>123047.29459901452</v>
      </c>
      <c r="AI46" s="61">
        <f>(2*PI()*AI43*(Parameters!$D$3/1000000)*Parameters!$C$3)^2</f>
        <v>171331.05299966782</v>
      </c>
      <c r="AJ46" s="61">
        <f>(2*PI()*AJ43*(Parameters!$D$3/1000000)*Parameters!$C$3)^2</f>
        <v>238561.35819673745</v>
      </c>
      <c r="AK46" s="61">
        <f>(2*PI()*AK43*(Parameters!$D$3/1000000)*Parameters!$C$3)^2</f>
        <v>332172.83515313722</v>
      </c>
      <c r="AL46" s="61">
        <f>(2*PI()*AL43*(Parameters!$D$3/1000000)*Parameters!$C$3)^2</f>
        <v>462517.45566722821</v>
      </c>
      <c r="AM46" s="61">
        <f>(2*PI()*AM43*(Parameters!$D$3/1000000)*Parameters!$C$3)^2</f>
        <v>644009.30527104856</v>
      </c>
      <c r="AN46" s="61">
        <f>(2*PI()*AN43*(Parameters!$D$3/1000000)*Parameters!$C$3)^2</f>
        <v>896718.55665940756</v>
      </c>
      <c r="AO46" s="61">
        <f>(2*PI()*AO43*(Parameters!$D$3/1000000)*Parameters!$C$3)^2</f>
        <v>1248590.918292559</v>
      </c>
      <c r="AP46" s="61">
        <f>(2*PI()*AP43*(Parameters!$D$3/1000000)*Parameters!$C$3)^2</f>
        <v>1738537.9946305586</v>
      </c>
      <c r="AQ46" s="61">
        <f>(2*PI()*AQ43*(Parameters!$D$3/1000000)*Parameters!$C$3)^2</f>
        <v>2420740.3037235891</v>
      </c>
      <c r="AR46" s="61">
        <f>(2*PI()*AR43*(Parameters!$D$3/1000000)*Parameters!$C$3)^2</f>
        <v>3370638.7989047267</v>
      </c>
      <c r="AS46" s="61">
        <f>(2*PI()*AS43*(Parameters!$D$3/1000000)*Parameters!$C$3)^2</f>
        <v>4299199.677114523</v>
      </c>
    </row>
    <row r="47" spans="1:45" ht="14" thickTop="1" thickBot="1">
      <c r="A47" s="55"/>
      <c r="B47" s="60" t="s">
        <v>35</v>
      </c>
      <c r="C47" s="61">
        <f t="shared" ref="C47:AS47" si="9">(C44/(C45+C46))^0.5</f>
        <v>0.92178925120846311</v>
      </c>
      <c r="D47" s="61">
        <f t="shared" si="9"/>
        <v>0.93898703494855906</v>
      </c>
      <c r="E47" s="61">
        <f t="shared" si="9"/>
        <v>0.95328304998321578</v>
      </c>
      <c r="F47" s="61">
        <f t="shared" si="9"/>
        <v>0.96477247550080814</v>
      </c>
      <c r="G47" s="61">
        <f t="shared" si="9"/>
        <v>0.97375736213032382</v>
      </c>
      <c r="H47" s="61">
        <f t="shared" si="9"/>
        <v>0.98063413067452088</v>
      </c>
      <c r="I47" s="61">
        <f t="shared" si="9"/>
        <v>0.98581099476148104</v>
      </c>
      <c r="J47" s="61">
        <f t="shared" si="9"/>
        <v>0.98965968743179888</v>
      </c>
      <c r="K47" s="61">
        <f t="shared" si="9"/>
        <v>0.99249437185589828</v>
      </c>
      <c r="L47" s="61">
        <f t="shared" si="9"/>
        <v>0.99456786143819575</v>
      </c>
      <c r="M47" s="61">
        <f t="shared" si="9"/>
        <v>0.99607691439909107</v>
      </c>
      <c r="N47" s="61">
        <f t="shared" si="9"/>
        <v>0.99717114204352997</v>
      </c>
      <c r="O47" s="61">
        <f t="shared" si="9"/>
        <v>0.99796245797052763</v>
      </c>
      <c r="P47" s="61">
        <f t="shared" si="9"/>
        <v>0.99853361023106657</v>
      </c>
      <c r="Q47" s="61">
        <f t="shared" si="9"/>
        <v>0.9989452782188547</v>
      </c>
      <c r="R47" s="61">
        <f t="shared" si="9"/>
        <v>0.99924169634496252</v>
      </c>
      <c r="S47" s="61">
        <f t="shared" si="9"/>
        <v>0.99945497494546609</v>
      </c>
      <c r="T47" s="61">
        <f t="shared" si="9"/>
        <v>0.99960835292521177</v>
      </c>
      <c r="U47" s="61">
        <f t="shared" si="9"/>
        <v>0.99971861232435832</v>
      </c>
      <c r="V47" s="61">
        <f t="shared" si="9"/>
        <v>0.99979785350776318</v>
      </c>
      <c r="W47" s="61">
        <f t="shared" si="9"/>
        <v>0.99985479147953005</v>
      </c>
      <c r="X47" s="61">
        <f t="shared" si="9"/>
        <v>0.9998956979927327</v>
      </c>
      <c r="Y47" s="61">
        <f t="shared" si="9"/>
        <v>0.99992508392103996</v>
      </c>
      <c r="Z47" s="61">
        <f t="shared" si="9"/>
        <v>0.99994619231077408</v>
      </c>
      <c r="AA47" s="61">
        <f t="shared" si="9"/>
        <v>0.99996135402604858</v>
      </c>
      <c r="AB47" s="61">
        <f t="shared" si="9"/>
        <v>0.99997224396483519</v>
      </c>
      <c r="AC47" s="61">
        <f t="shared" si="9"/>
        <v>0.99998006548113094</v>
      </c>
      <c r="AD47" s="61">
        <f t="shared" si="9"/>
        <v>0.99998568304668234</v>
      </c>
      <c r="AE47" s="61">
        <f t="shared" si="9"/>
        <v>0.9999897176363004</v>
      </c>
      <c r="AF47" s="61">
        <f t="shared" si="9"/>
        <v>0.99999261528873506</v>
      </c>
      <c r="AG47" s="61">
        <f t="shared" si="9"/>
        <v>0.99999469637524552</v>
      </c>
      <c r="AH47" s="61">
        <f t="shared" si="9"/>
        <v>0.99999619099859371</v>
      </c>
      <c r="AI47" s="61">
        <f t="shared" si="9"/>
        <v>0.99999726442382708</v>
      </c>
      <c r="AJ47" s="61">
        <f t="shared" si="9"/>
        <v>0.99999803534628273</v>
      </c>
      <c r="AK47" s="61">
        <f t="shared" si="9"/>
        <v>0.99999858901345173</v>
      </c>
      <c r="AL47" s="61">
        <f t="shared" si="9"/>
        <v>0.99999898664996623</v>
      </c>
      <c r="AM47" s="61">
        <f t="shared" si="9"/>
        <v>0.99999927222702878</v>
      </c>
      <c r="AN47" s="61">
        <f t="shared" si="9"/>
        <v>0.99999947732439409</v>
      </c>
      <c r="AO47" s="61">
        <f t="shared" si="9"/>
        <v>0.99999962462231706</v>
      </c>
      <c r="AP47" s="61">
        <f t="shared" si="9"/>
        <v>0.99999973040948931</v>
      </c>
      <c r="AQ47" s="61">
        <f t="shared" si="9"/>
        <v>0.99999980638423924</v>
      </c>
      <c r="AR47" s="61">
        <f t="shared" si="9"/>
        <v>0.99999986094814775</v>
      </c>
      <c r="AS47" s="61">
        <f t="shared" si="9"/>
        <v>0.99999989098119313</v>
      </c>
    </row>
    <row r="48" spans="1:45" ht="14" thickTop="1" thickBot="1">
      <c r="A48" s="55"/>
      <c r="B48" s="60" t="s">
        <v>44</v>
      </c>
      <c r="C48" s="61">
        <f>Parameters!$G$3/((((Parameters!$G$3+((Parameters!$K$14+Parameters!$G$14)/2))^2)+((1/(2*PI()*C43*(Parameters!$H$3/1000000000)))^2))^0.5)</f>
        <v>0.28895379100637564</v>
      </c>
      <c r="D48" s="61">
        <f>Parameters!$G$3/((((Parameters!$G$3+((Parameters!$K$14+Parameters!$G$14)/2))^2)+((1/(2*PI()*D43*(Parameters!$H$3/1000000000)))^2))^0.5)</f>
        <v>0.33464527403263833</v>
      </c>
      <c r="E48" s="61">
        <f>Parameters!$G$3/((((Parameters!$G$3+((Parameters!$K$14+Parameters!$G$14)/2))^2)+((1/(2*PI()*E43*(Parameters!$H$3/1000000000)))^2))^0.5)</f>
        <v>0.38515557038102155</v>
      </c>
      <c r="F48" s="61">
        <f>Parameters!$G$3/((((Parameters!$G$3+((Parameters!$K$14+Parameters!$G$14)/2))^2)+((1/(2*PI()*F43*(Parameters!$H$3/1000000000)))^2))^0.5)</f>
        <v>0.43982968358189017</v>
      </c>
      <c r="G48" s="61">
        <f>Parameters!$G$3/((((Parameters!$G$3+((Parameters!$K$14+Parameters!$G$14)/2))^2)+((1/(2*PI()*G43*(Parameters!$H$3/1000000000)))^2))^0.5)</f>
        <v>0.49748928067859466</v>
      </c>
      <c r="H48" s="61">
        <f>Parameters!$G$3/((((Parameters!$G$3+((Parameters!$K$14+Parameters!$G$14)/2))^2)+((1/(2*PI()*H43*(Parameters!$H$3/1000000000)))^2))^0.5)</f>
        <v>0.55643389332792847</v>
      </c>
      <c r="I48" s="61">
        <f>Parameters!$G$3/((((Parameters!$G$3+((Parameters!$K$14+Parameters!$G$14)/2))^2)+((1/(2*PI()*I43*(Parameters!$H$3/1000000000)))^2))^0.5)</f>
        <v>0.61457934028916017</v>
      </c>
      <c r="J48" s="61">
        <f>Parameters!$G$3/((((Parameters!$G$3+((Parameters!$K$14+Parameters!$G$14)/2))^2)+((1/(2*PI()*J43*(Parameters!$H$3/1000000000)))^2))^0.5)</f>
        <v>0.66973947237221965</v>
      </c>
      <c r="K48" s="61">
        <f>Parameters!$G$3/((((Parameters!$G$3+((Parameters!$K$14+Parameters!$G$14)/2))^2)+((1/(2*PI()*K43*(Parameters!$H$3/1000000000)))^2))^0.5)</f>
        <v>0.71998487016010548</v>
      </c>
      <c r="L48" s="61">
        <f>Parameters!$G$3/((((Parameters!$G$3+((Parameters!$K$14+Parameters!$G$14)/2))^2)+((1/(2*PI()*L43*(Parameters!$H$3/1000000000)))^2))^0.5)</f>
        <v>0.76395617921246206</v>
      </c>
      <c r="M48" s="61">
        <f>Parameters!$G$3/((((Parameters!$G$3+((Parameters!$K$14+Parameters!$G$14)/2))^2)+((1/(2*PI()*M43*(Parameters!$H$3/1000000000)))^2))^0.5)</f>
        <v>0.80102037480830512</v>
      </c>
      <c r="N48" s="61">
        <f>Parameters!$G$3/((((Parameters!$G$3+((Parameters!$K$14+Parameters!$G$14)/2))^2)+((1/(2*PI()*N43*(Parameters!$H$3/1000000000)))^2))^0.5)</f>
        <v>0.83123528157931681</v>
      </c>
      <c r="O48" s="61">
        <f>Parameters!$G$3/((((Parameters!$G$3+((Parameters!$K$14+Parameters!$G$14)/2))^2)+((1/(2*PI()*O43*(Parameters!$H$3/1000000000)))^2))^0.5)</f>
        <v>0.85517419541685813</v>
      </c>
      <c r="P48" s="61">
        <f>Parameters!$G$3/((((Parameters!$G$3+((Parameters!$K$14+Parameters!$G$14)/2))^2)+((1/(2*PI()*P43*(Parameters!$H$3/1000000000)))^2))^0.5)</f>
        <v>0.87370175009432571</v>
      </c>
      <c r="Q48" s="61">
        <f>Parameters!$G$3/((((Parameters!$G$3+((Parameters!$K$14+Parameters!$G$14)/2))^2)+((1/(2*PI()*Q43*(Parameters!$H$3/1000000000)))^2))^0.5)</f>
        <v>0.88777643571024756</v>
      </c>
      <c r="R48" s="61">
        <f>Parameters!$G$3/((((Parameters!$G$3+((Parameters!$K$14+Parameters!$G$14)/2))^2)+((1/(2*PI()*R43*(Parameters!$H$3/1000000000)))^2))^0.5)</f>
        <v>0.89831494348802798</v>
      </c>
      <c r="S48" s="61">
        <f>Parameters!$G$3/((((Parameters!$G$3+((Parameters!$K$14+Parameters!$G$14)/2))^2)+((1/(2*PI()*S43*(Parameters!$H$3/1000000000)))^2))^0.5)</f>
        <v>0.9061193756328112</v>
      </c>
      <c r="T48" s="61">
        <f>Parameters!$G$3/((((Parameters!$G$3+((Parameters!$K$14+Parameters!$G$14)/2))^2)+((1/(2*PI()*T43*(Parameters!$H$3/1000000000)))^2))^0.5)</f>
        <v>0.9118515910343189</v>
      </c>
      <c r="U48" s="61">
        <f>Parameters!$G$3/((((Parameters!$G$3+((Parameters!$K$14+Parameters!$G$14)/2))^2)+((1/(2*PI()*U43*(Parameters!$H$3/1000000000)))^2))^0.5)</f>
        <v>0.91603615591319421</v>
      </c>
      <c r="V48" s="61">
        <f>Parameters!$G$3/((((Parameters!$G$3+((Parameters!$K$14+Parameters!$G$14)/2))^2)+((1/(2*PI()*V43*(Parameters!$H$3/1000000000)))^2))^0.5)</f>
        <v>0.91907724127282098</v>
      </c>
      <c r="W48" s="61">
        <f>Parameters!$G$3/((((Parameters!$G$3+((Parameters!$K$14+Parameters!$G$14)/2))^2)+((1/(2*PI()*W43*(Parameters!$H$3/1000000000)))^2))^0.5)</f>
        <v>0.92128008395020367</v>
      </c>
      <c r="X48" s="61">
        <f>Parameters!$G$3/((((Parameters!$G$3+((Parameters!$K$14+Parameters!$G$14)/2))^2)+((1/(2*PI()*X43*(Parameters!$H$3/1000000000)))^2))^0.5)</f>
        <v>0.92287193988384308</v>
      </c>
      <c r="Y48" s="61">
        <f>Parameters!$G$3/((((Parameters!$G$3+((Parameters!$K$14+Parameters!$G$14)/2))^2)+((1/(2*PI()*Y43*(Parameters!$H$3/1000000000)))^2))^0.5)</f>
        <v>0.92402029064270719</v>
      </c>
      <c r="Z48" s="61">
        <f>Parameters!$G$3/((((Parameters!$G$3+((Parameters!$K$14+Parameters!$G$14)/2))^2)+((1/(2*PI()*Z43*(Parameters!$H$3/1000000000)))^2))^0.5)</f>
        <v>0.92484766819612663</v>
      </c>
      <c r="AA48" s="61">
        <f>Parameters!$G$3/((((Parameters!$G$3+((Parameters!$K$14+Parameters!$G$14)/2))^2)+((1/(2*PI()*AA43*(Parameters!$H$3/1000000000)))^2))^0.5)</f>
        <v>0.92544325102418912</v>
      </c>
      <c r="AB48" s="61">
        <f>Parameters!$G$3/((((Parameters!$G$3+((Parameters!$K$14+Parameters!$G$14)/2))^2)+((1/(2*PI()*AB43*(Parameters!$H$3/1000000000)))^2))^0.5)</f>
        <v>0.92587169996111085</v>
      </c>
      <c r="AC48" s="61">
        <f>Parameters!$G$3/((((Parameters!$G$3+((Parameters!$K$14+Parameters!$G$14)/2))^2)+((1/(2*PI()*AC43*(Parameters!$H$3/1000000000)))^2))^0.5)</f>
        <v>0.92617977272841845</v>
      </c>
      <c r="AD48" s="61">
        <f>Parameters!$G$3/((((Parameters!$G$3+((Parameters!$K$14+Parameters!$G$14)/2))^2)+((1/(2*PI()*AD43*(Parameters!$H$3/1000000000)))^2))^0.5)</f>
        <v>0.92640121562714661</v>
      </c>
      <c r="AE48" s="61">
        <f>Parameters!$G$3/((((Parameters!$G$3+((Parameters!$K$14+Parameters!$G$14)/2))^2)+((1/(2*PI()*AE43*(Parameters!$H$3/1000000000)))^2))^0.5)</f>
        <v>0.92656035050477759</v>
      </c>
      <c r="AF48" s="61">
        <f>Parameters!$G$3/((((Parameters!$G$3+((Parameters!$K$14+Parameters!$G$14)/2))^2)+((1/(2*PI()*AF43*(Parameters!$H$3/1000000000)))^2))^0.5)</f>
        <v>0.92667468930688157</v>
      </c>
      <c r="AG48" s="61">
        <f>Parameters!$G$3/((((Parameters!$G$3+((Parameters!$K$14+Parameters!$G$14)/2))^2)+((1/(2*PI()*AG43*(Parameters!$H$3/1000000000)))^2))^0.5)</f>
        <v>0.92675683177543922</v>
      </c>
      <c r="AH48" s="61">
        <f>Parameters!$G$3/((((Parameters!$G$3+((Parameters!$K$14+Parameters!$G$14)/2))^2)+((1/(2*PI()*AH43*(Parameters!$H$3/1000000000)))^2))^0.5)</f>
        <v>0.92681583869658024</v>
      </c>
      <c r="AI48" s="61">
        <f>Parameters!$G$3/((((Parameters!$G$3+((Parameters!$K$14+Parameters!$G$14)/2))^2)+((1/(2*PI()*AI43*(Parameters!$H$3/1000000000)))^2))^0.5)</f>
        <v>0.9268582235033086</v>
      </c>
      <c r="AJ48" s="61">
        <f>Parameters!$G$3/((((Parameters!$G$3+((Parameters!$K$14+Parameters!$G$14)/2))^2)+((1/(2*PI()*AJ43*(Parameters!$H$3/1000000000)))^2))^0.5)</f>
        <v>0.92688866719957552</v>
      </c>
      <c r="AK48" s="61">
        <f>Parameters!$G$3/((((Parameters!$G$3+((Parameters!$K$14+Parameters!$G$14)/2))^2)+((1/(2*PI()*AK43*(Parameters!$H$3/1000000000)))^2))^0.5)</f>
        <v>0.92691053323919281</v>
      </c>
      <c r="AL48" s="61">
        <f>Parameters!$G$3/((((Parameters!$G$3+((Parameters!$K$14+Parameters!$G$14)/2))^2)+((1/(2*PI()*AL43*(Parameters!$H$3/1000000000)))^2))^0.5)</f>
        <v>0.92692623804321506</v>
      </c>
      <c r="AM48" s="61">
        <f>Parameters!$G$3/((((Parameters!$G$3+((Parameters!$K$14+Parameters!$G$14)/2))^2)+((1/(2*PI()*AM43*(Parameters!$H$3/1000000000)))^2))^0.5)</f>
        <v>0.92693751748146958</v>
      </c>
      <c r="AN48" s="61">
        <f>Parameters!$G$3/((((Parameters!$G$3+((Parameters!$K$14+Parameters!$G$14)/2))^2)+((1/(2*PI()*AN43*(Parameters!$H$3/1000000000)))^2))^0.5)</f>
        <v>0.92694561845245949</v>
      </c>
      <c r="AO48" s="61">
        <f>Parameters!$G$3/((((Parameters!$G$3+((Parameters!$K$14+Parameters!$G$14)/2))^2)+((1/(2*PI()*AO43*(Parameters!$H$3/1000000000)))^2))^0.5)</f>
        <v>0.92695143657473722</v>
      </c>
      <c r="AP48" s="61">
        <f>Parameters!$G$3/((((Parameters!$G$3+((Parameters!$K$14+Parameters!$G$14)/2))^2)+((1/(2*PI()*AP43*(Parameters!$H$3/1000000000)))^2))^0.5)</f>
        <v>0.92695561512716229</v>
      </c>
      <c r="AQ48" s="61">
        <f>Parameters!$G$3/((((Parameters!$G$3+((Parameters!$K$14+Parameters!$G$14)/2))^2)+((1/(2*PI()*AQ43*(Parameters!$H$3/1000000000)))^2))^0.5)</f>
        <v>0.9269586161333182</v>
      </c>
      <c r="AR48" s="61">
        <f>Parameters!$G$3/((((Parameters!$G$3+((Parameters!$K$14+Parameters!$G$14)/2))^2)+((1/(2*PI()*AR43*(Parameters!$H$3/1000000000)))^2))^0.5)</f>
        <v>0.92696077142719657</v>
      </c>
      <c r="AS48" s="61">
        <f>Parameters!$G$3/((((Parameters!$G$3+((Parameters!$K$14+Parameters!$G$14)/2))^2)+((1/(2*PI()*AS43*(Parameters!$H$3/1000000000)))^2))^0.5)</f>
        <v>0.92696195774926882</v>
      </c>
    </row>
    <row r="49" spans="1:45" ht="14" thickTop="1" thickBot="1">
      <c r="A49" s="55"/>
      <c r="B49" s="60" t="s">
        <v>47</v>
      </c>
      <c r="C49" s="61">
        <f>(((1/(2*PI()*C43*(Parameters!$H$14/1000000000000)))^2)/((Parameters!$E$3^2)+((1/(2*PI()*C43*(Parameters!$H$14/1000000000000)))^2)))^0.5</f>
        <v>0.99999409424190511</v>
      </c>
      <c r="D49" s="61">
        <f>(((1/(2*PI()*D43*(Parameters!$H$14/1000000000000)))^2)/((Parameters!$E$3^2)+((1/(2*PI()*D43*(Parameters!$H$14/1000000000000)))^2)))^0.5</f>
        <v>0.99999177685101326</v>
      </c>
      <c r="E49" s="61">
        <f>(((1/(2*PI()*E43*(Parameters!$H$14/1000000000000)))^2)/((Parameters!$E$3^2)+((1/(2*PI()*E43*(Parameters!$H$14/1000000000000)))^2)))^0.5</f>
        <v>0.99998855014276977</v>
      </c>
      <c r="F49" s="61">
        <f>(((1/(2*PI()*F43*(Parameters!$H$14/1000000000000)))^2)/((Parameters!$E$3^2)+((1/(2*PI()*F43*(Parameters!$H$14/1000000000000)))^2)))^0.5</f>
        <v>0.99998405732623585</v>
      </c>
      <c r="G49" s="61">
        <f>(((1/(2*PI()*G43*(Parameters!$H$14/1000000000000)))^2)/((Parameters!$E$3^2)+((1/(2*PI()*G43*(Parameters!$H$14/1000000000000)))^2)))^0.5</f>
        <v>0.9999778016293559</v>
      </c>
      <c r="H49" s="61">
        <f>(((1/(2*PI()*H43*(Parameters!$H$14/1000000000000)))^2)/((Parameters!$E$3^2)+((1/(2*PI()*H43*(Parameters!$H$14/1000000000000)))^2)))^0.5</f>
        <v>0.99996909139256229</v>
      </c>
      <c r="I49" s="61">
        <f>(((1/(2*PI()*I43*(Parameters!$H$14/1000000000000)))^2)/((Parameters!$E$3^2)+((1/(2*PI()*I43*(Parameters!$H$14/1000000000000)))^2)))^0.5</f>
        <v>0.99995696363794617</v>
      </c>
      <c r="J49" s="61">
        <f>(((1/(2*PI()*J43*(Parameters!$H$14/1000000000000)))^2)/((Parameters!$E$3^2)+((1/(2*PI()*J43*(Parameters!$H$14/1000000000000)))^2)))^0.5</f>
        <v>0.99994007768735449</v>
      </c>
      <c r="K49" s="61">
        <f>(((1/(2*PI()*K43*(Parameters!$H$14/1000000000000)))^2)/((Parameters!$E$3^2)+((1/(2*PI()*K43*(Parameters!$H$14/1000000000000)))^2)))^0.5</f>
        <v>0.99991656711450283</v>
      </c>
      <c r="L49" s="61">
        <f>(((1/(2*PI()*L43*(Parameters!$H$14/1000000000000)))^2)/((Parameters!$E$3^2)+((1/(2*PI()*L43*(Parameters!$H$14/1000000000000)))^2)))^0.5</f>
        <v>0.99988383375480516</v>
      </c>
      <c r="M49" s="61">
        <f>(((1/(2*PI()*M43*(Parameters!$H$14/1000000000000)))^2)/((Parameters!$E$3^2)+((1/(2*PI()*M43*(Parameters!$H$14/1000000000000)))^2)))^0.5</f>
        <v>0.99983826117864338</v>
      </c>
      <c r="N49" s="61">
        <f>(((1/(2*PI()*N43*(Parameters!$H$14/1000000000000)))^2)/((Parameters!$E$3^2)+((1/(2*PI()*N43*(Parameters!$H$14/1000000000000)))^2)))^0.5</f>
        <v>0.99977481630112952</v>
      </c>
      <c r="O49" s="61">
        <f>(((1/(2*PI()*O43*(Parameters!$H$14/1000000000000)))^2)/((Parameters!$E$3^2)+((1/(2*PI()*O43*(Parameters!$H$14/1000000000000)))^2)))^0.5</f>
        <v>0.9996864957667928</v>
      </c>
      <c r="P49" s="61">
        <f>(((1/(2*PI()*P43*(Parameters!$H$14/1000000000000)))^2)/((Parameters!$E$3^2)+((1/(2*PI()*P43*(Parameters!$H$14/1000000000000)))^2)))^0.5</f>
        <v>0.99956355723178536</v>
      </c>
      <c r="Q49" s="61">
        <f>(((1/(2*PI()*Q43*(Parameters!$H$14/1000000000000)))^2)/((Parameters!$E$3^2)+((1/(2*PI()*Q43*(Parameters!$H$14/1000000000000)))^2)))^0.5</f>
        <v>0.99939245313522485</v>
      </c>
      <c r="R49" s="61">
        <f>(((1/(2*PI()*R43*(Parameters!$H$14/1000000000000)))^2)/((Parameters!$E$3^2)+((1/(2*PI()*R43*(Parameters!$H$14/1000000000000)))^2)))^0.5</f>
        <v>0.99915435407698849</v>
      </c>
      <c r="S49" s="61">
        <f>(((1/(2*PI()*S43*(Parameters!$H$14/1000000000000)))^2)/((Parameters!$E$3^2)+((1/(2*PI()*S43*(Parameters!$H$14/1000000000000)))^2)))^0.5</f>
        <v>0.99882310821390785</v>
      </c>
      <c r="T49" s="61">
        <f>(((1/(2*PI()*T43*(Parameters!$H$14/1000000000000)))^2)/((Parameters!$E$3^2)+((1/(2*PI()*T43*(Parameters!$H$14/1000000000000)))^2)))^0.5</f>
        <v>0.99836242972015254</v>
      </c>
      <c r="U49" s="61">
        <f>(((1/(2*PI()*U43*(Parameters!$H$14/1000000000000)))^2)/((Parameters!$E$3^2)+((1/(2*PI()*U43*(Parameters!$H$14/1000000000000)))^2)))^0.5</f>
        <v>0.99772204137418929</v>
      </c>
      <c r="V49" s="61">
        <f>(((1/(2*PI()*V43*(Parameters!$H$14/1000000000000)))^2)/((Parameters!$E$3^2)+((1/(2*PI()*V43*(Parameters!$H$14/1000000000000)))^2)))^0.5</f>
        <v>0.9968324136746598</v>
      </c>
      <c r="W49" s="61">
        <f>(((1/(2*PI()*W43*(Parameters!$H$14/1000000000000)))^2)/((Parameters!$E$3^2)+((1/(2*PI()*W43*(Parameters!$H$14/1000000000000)))^2)))^0.5</f>
        <v>0.9955976503664975</v>
      </c>
      <c r="X49" s="61">
        <f>(((1/(2*PI()*X43*(Parameters!$H$14/1000000000000)))^2)/((Parameters!$E$3^2)+((1/(2*PI()*X43*(Parameters!$H$14/1000000000000)))^2)))^0.5</f>
        <v>0.99388598337879863</v>
      </c>
      <c r="Y49" s="61">
        <f>(((1/(2*PI()*Y43*(Parameters!$H$14/1000000000000)))^2)/((Parameters!$E$3^2)+((1/(2*PI()*Y43*(Parameters!$H$14/1000000000000)))^2)))^0.5</f>
        <v>0.99151729577116909</v>
      </c>
      <c r="Z49" s="61">
        <f>(((1/(2*PI()*Z43*(Parameters!$H$14/1000000000000)))^2)/((Parameters!$E$3^2)+((1/(2*PI()*Z43*(Parameters!$H$14/1000000000000)))^2)))^0.5</f>
        <v>0.98824716563050941</v>
      </c>
      <c r="AA49" s="61">
        <f>(((1/(2*PI()*AA43*(Parameters!$H$14/1000000000000)))^2)/((Parameters!$E$3^2)+((1/(2*PI()*AA43*(Parameters!$H$14/1000000000000)))^2)))^0.5</f>
        <v>0.9837472603198445</v>
      </c>
      <c r="AB49" s="61">
        <f>(((1/(2*PI()*AB43*(Parameters!$H$14/1000000000000)))^2)/((Parameters!$E$3^2)+((1/(2*PI()*AB43*(Parameters!$H$14/1000000000000)))^2)))^0.5</f>
        <v>0.97758275394116156</v>
      </c>
      <c r="AC49" s="61">
        <f>(((1/(2*PI()*AC43*(Parameters!$H$14/1000000000000)))^2)/((Parameters!$E$3^2)+((1/(2*PI()*AC43*(Parameters!$H$14/1000000000000)))^2)))^0.5</f>
        <v>0.96918916014821743</v>
      </c>
      <c r="AD49" s="61">
        <f>(((1/(2*PI()*AD43*(Parameters!$H$14/1000000000000)))^2)/((Parameters!$E$3^2)+((1/(2*PI()*AD43*(Parameters!$H$14/1000000000000)))^2)))^0.5</f>
        <v>0.95785401271849546</v>
      </c>
      <c r="AE49" s="61">
        <f>(((1/(2*PI()*AE43*(Parameters!$H$14/1000000000000)))^2)/((Parameters!$E$3^2)+((1/(2*PI()*AE43*(Parameters!$H$14/1000000000000)))^2)))^0.5</f>
        <v>0.9427134623857143</v>
      </c>
      <c r="AF49" s="61">
        <f>(((1/(2*PI()*AF43*(Parameters!$H$14/1000000000000)))^2)/((Parameters!$E$3^2)+((1/(2*PI()*AF43*(Parameters!$H$14/1000000000000)))^2)))^0.5</f>
        <v>0.92277954671458018</v>
      </c>
      <c r="AG49" s="61">
        <f>(((1/(2*PI()*AG43*(Parameters!$H$14/1000000000000)))^2)/((Parameters!$E$3^2)+((1/(2*PI()*AG43*(Parameters!$H$14/1000000000000)))^2)))^0.5</f>
        <v>0.89701810545489502</v>
      </c>
      <c r="AH49" s="61">
        <f>(((1/(2*PI()*AH43*(Parameters!$H$14/1000000000000)))^2)/((Parameters!$E$3^2)+((1/(2*PI()*AH43*(Parameters!$H$14/1000000000000)))^2)))^0.5</f>
        <v>0.86449440208818873</v>
      </c>
      <c r="AI49" s="61">
        <f>(((1/(2*PI()*AI43*(Parameters!$H$14/1000000000000)))^2)/((Parameters!$E$3^2)+((1/(2*PI()*AI43*(Parameters!$H$14/1000000000000)))^2)))^0.5</f>
        <v>0.82458560858406105</v>
      </c>
      <c r="AJ49" s="61">
        <f>(((1/(2*PI()*AJ43*(Parameters!$H$14/1000000000000)))^2)/((Parameters!$E$3^2)+((1/(2*PI()*AJ43*(Parameters!$H$14/1000000000000)))^2)))^0.5</f>
        <v>0.77722264901236759</v>
      </c>
      <c r="AK49" s="61">
        <f>(((1/(2*PI()*AK43*(Parameters!$H$14/1000000000000)))^2)/((Parameters!$E$3^2)+((1/(2*PI()*AK43*(Parameters!$H$14/1000000000000)))^2)))^0.5</f>
        <v>0.72308042587341437</v>
      </c>
      <c r="AL49" s="61">
        <f>(((1/(2*PI()*AL43*(Parameters!$H$14/1000000000000)))^2)/((Parameters!$E$3^2)+((1/(2*PI()*AL43*(Parameters!$H$14/1000000000000)))^2)))^0.5</f>
        <v>0.66361801545728794</v>
      </c>
      <c r="AM49" s="61">
        <f>(((1/(2*PI()*AM43*(Parameters!$H$14/1000000000000)))^2)/((Parameters!$E$3^2)+((1/(2*PI()*AM43*(Parameters!$H$14/1000000000000)))^2)))^0.5</f>
        <v>0.60091215596912373</v>
      </c>
      <c r="AN49" s="61">
        <f>(((1/(2*PI()*AN43*(Parameters!$H$14/1000000000000)))^2)/((Parameters!$E$3^2)+((1/(2*PI()*AN43*(Parameters!$H$14/1000000000000)))^2)))^0.5</f>
        <v>0.5373204199904783</v>
      </c>
      <c r="AO49" s="61">
        <f>(((1/(2*PI()*AO43*(Parameters!$H$14/1000000000000)))^2)/((Parameters!$E$3^2)+((1/(2*PI()*AO43*(Parameters!$H$14/1000000000000)))^2)))^0.5</f>
        <v>0.47509403812485268</v>
      </c>
      <c r="AP49" s="61">
        <f>(((1/(2*PI()*AP43*(Parameters!$H$14/1000000000000)))^2)/((Parameters!$E$3^2)+((1/(2*PI()*AP43*(Parameters!$H$14/1000000000000)))^2)))^0.5</f>
        <v>0.4160726292160532</v>
      </c>
      <c r="AQ49" s="61">
        <f>(((1/(2*PI()*AQ43*(Parameters!$H$14/1000000000000)))^2)/((Parameters!$E$3^2)+((1/(2*PI()*AQ43*(Parameters!$H$14/1000000000000)))^2)))^0.5</f>
        <v>0.36153323729193598</v>
      </c>
      <c r="AR49" s="61">
        <f>(((1/(2*PI()*AR43*(Parameters!$H$14/1000000000000)))^2)/((Parameters!$E$3^2)+((1/(2*PI()*AR43*(Parameters!$H$14/1000000000000)))^2)))^0.5</f>
        <v>0.31218777404338272</v>
      </c>
      <c r="AS49" s="61">
        <f>(((1/(2*PI()*AS43*(Parameters!$H$14/1000000000000)))^2)/((Parameters!$E$3^2)+((1/(2*PI()*AS43*(Parameters!$H$14/1000000000000)))^2)))^0.5</f>
        <v>0.27938170385865607</v>
      </c>
    </row>
    <row r="50" spans="1:45" ht="14" thickTop="1" thickBot="1">
      <c r="A50" s="55"/>
      <c r="B50" s="60" t="s">
        <v>36</v>
      </c>
      <c r="C50" s="61">
        <f>Parameters!$E$14*C47*C48*C49</f>
        <v>4.5450491063568617</v>
      </c>
      <c r="D50" s="61">
        <f>Parameters!$E$14*D47*D48*D49</f>
        <v>5.3619385078225026</v>
      </c>
      <c r="E50" s="61">
        <f>Parameters!$E$14*E47*E48*E49</f>
        <v>6.2651891929372781</v>
      </c>
      <c r="F50" s="61">
        <f>Parameters!$E$14*F47*F48*F49</f>
        <v>7.2407512071478788</v>
      </c>
      <c r="G50" s="61">
        <f>Parameters!$E$14*G47*G48*G49</f>
        <v>8.2662007726899684</v>
      </c>
      <c r="H50" s="61">
        <f>Parameters!$E$14*H47*H48*H49</f>
        <v>9.310827168653617</v>
      </c>
      <c r="I50" s="61">
        <f>Parameters!$E$14*I47*I48*I49</f>
        <v>10.337940589447848</v>
      </c>
      <c r="J50" s="61">
        <f>Parameters!$E$14*J47*J48*J49</f>
        <v>11.309589962612852</v>
      </c>
      <c r="K50" s="61">
        <f>Parameters!$E$14*K47*K48*K49</f>
        <v>12.19259913360637</v>
      </c>
      <c r="L50" s="61">
        <f>Parameters!$E$14*L47*L48*L49</f>
        <v>12.963835883914777</v>
      </c>
      <c r="M50" s="61">
        <f>Parameters!$E$14*M47*M48*M49</f>
        <v>13.612794806902528</v>
      </c>
      <c r="N50" s="61">
        <f>Parameters!$E$14*N47*N48*N49</f>
        <v>14.140897406718294</v>
      </c>
      <c r="O50" s="61">
        <f>Parameters!$E$14*O47*O48*O49</f>
        <v>14.558402613140395</v>
      </c>
      <c r="P50" s="61">
        <f>Parameters!$E$14*P47*P48*P49</f>
        <v>14.880496280091151</v>
      </c>
      <c r="Q50" s="61">
        <f>Parameters!$E$14*Q47*Q48*Q49</f>
        <v>15.123854332658565</v>
      </c>
      <c r="R50" s="61">
        <f>Parameters!$E$14*R47*R48*R49</f>
        <v>15.30427870196819</v>
      </c>
      <c r="S50" s="61">
        <f>Parameters!$E$14*S47*S48*S49</f>
        <v>15.435416082562378</v>
      </c>
      <c r="T50" s="61">
        <f>Parameters!$E$14*T47*T48*T49</f>
        <v>15.528280750515172</v>
      </c>
      <c r="U50" s="61">
        <f>Parameters!$E$14*U47*U48*U49</f>
        <v>15.591254773925257</v>
      </c>
      <c r="V50" s="61">
        <f>Parameters!$E$14*V47*V48*V49</f>
        <v>15.630305688401608</v>
      </c>
      <c r="W50" s="61">
        <f>Parameters!$E$14*W47*W48*W49</f>
        <v>15.649252082697901</v>
      </c>
      <c r="X50" s="61">
        <f>Parameters!$E$14*X47*X48*X49</f>
        <v>15.649981031612285</v>
      </c>
      <c r="Y50" s="61">
        <f>Parameters!$E$14*Y47*Y48*Y49</f>
        <v>15.632569707417534</v>
      </c>
      <c r="Z50" s="61">
        <f>Parameters!$E$14*Z47*Z48*Z49</f>
        <v>15.595292431937063</v>
      </c>
      <c r="AA50" s="61">
        <f>Parameters!$E$14*AA47*AA48*AA49</f>
        <v>15.534513356746437</v>
      </c>
      <c r="AB50" s="61">
        <f>Parameters!$E$14*AB47*AB48*AB49</f>
        <v>15.444483712903825</v>
      </c>
      <c r="AC50" s="61">
        <f>Parameters!$E$14*AC47*AC48*AC49</f>
        <v>15.317090946720329</v>
      </c>
      <c r="AD50" s="61">
        <f>Parameters!$E$14*AD47*AD48*AD49</f>
        <v>15.141654414008865</v>
      </c>
      <c r="AE50" s="61">
        <f>Parameters!$E$14*AE47*AE48*AE49</f>
        <v>14.904934221849286</v>
      </c>
      <c r="AF50" s="61">
        <f>Parameters!$E$14*AF47*AF48*AF49</f>
        <v>14.591608279485751</v>
      </c>
      <c r="AG50" s="61">
        <f>Parameters!$E$14*AG47*AG48*AG49</f>
        <v>14.185537959509539</v>
      </c>
      <c r="AH50" s="61">
        <f>Parameters!$E$14*AH47*AH48*AH49</f>
        <v>13.672095604257144</v>
      </c>
      <c r="AI50" s="61">
        <f>Parameters!$E$14*AI47*AI48*AI49</f>
        <v>13.041543032978595</v>
      </c>
      <c r="AJ50" s="61">
        <f>Parameters!$E$14*AJ47*AJ48*AJ49</f>
        <v>12.292869614186191</v>
      </c>
      <c r="AK50" s="61">
        <f>Parameters!$E$14*AK47*AK48*AK49</f>
        <v>11.436810315463193</v>
      </c>
      <c r="AL50" s="61">
        <f>Parameters!$E$14*AL47*AL48*AL49</f>
        <v>10.496487948300578</v>
      </c>
      <c r="AM50" s="61">
        <f>Parameters!$E$14*AM47*AM48*AM49</f>
        <v>9.5047837925328604</v>
      </c>
      <c r="AN50" s="61">
        <f>Parameters!$E$14*AN47*AN48*AN49</f>
        <v>8.4990127919462903</v>
      </c>
      <c r="AO50" s="61">
        <f>Parameters!$E$14*AO47*AO48*AO49</f>
        <v>7.5148014034665351</v>
      </c>
      <c r="AP50" s="61">
        <f>Parameters!$E$14*AP47*AP48*AP49</f>
        <v>6.5812604506138355</v>
      </c>
      <c r="AQ50" s="61">
        <f>Parameters!$E$14*AQ47*AQ48*AQ49</f>
        <v>5.7185984199937128</v>
      </c>
      <c r="AR50" s="61">
        <f>Parameters!$E$14*AR47*AR48*AR49</f>
        <v>4.9380819676773076</v>
      </c>
      <c r="AS50" s="61">
        <f>Parameters!$E$14*AS47*AS48*AS49</f>
        <v>4.4191722920793248</v>
      </c>
    </row>
    <row r="51" spans="1:45" ht="14" thickTop="1" thickBot="1">
      <c r="A51" s="55"/>
      <c r="B51" s="60" t="s">
        <v>37</v>
      </c>
      <c r="C51" s="61">
        <f>(LOG10(C50))*20</f>
        <v>13.150771597164567</v>
      </c>
      <c r="D51" s="61">
        <f t="shared" ref="D51:AS51" si="10">(LOG10(D50))*20</f>
        <v>14.586436581350117</v>
      </c>
      <c r="E51" s="61">
        <f t="shared" si="10"/>
        <v>15.938683802558899</v>
      </c>
      <c r="F51" s="61">
        <f t="shared" si="10"/>
        <v>17.195672506802076</v>
      </c>
      <c r="G51" s="61">
        <f t="shared" si="10"/>
        <v>18.346118987731728</v>
      </c>
      <c r="H51" s="61">
        <f t="shared" si="10"/>
        <v>19.379765303459912</v>
      </c>
      <c r="I51" s="61">
        <f t="shared" si="10"/>
        <v>20.288680640307064</v>
      </c>
      <c r="J51" s="61">
        <f t="shared" si="10"/>
        <v>21.068937190988809</v>
      </c>
      <c r="K51" s="61">
        <f t="shared" si="10"/>
        <v>21.721925907381067</v>
      </c>
      <c r="L51" s="61">
        <f t="shared" si="10"/>
        <v>22.254670488608333</v>
      </c>
      <c r="M51" s="61">
        <f t="shared" si="10"/>
        <v>22.678945964183299</v>
      </c>
      <c r="N51" s="61">
        <f t="shared" si="10"/>
        <v>23.0095394288481</v>
      </c>
      <c r="O51" s="61">
        <f t="shared" si="10"/>
        <v>23.262274512786934</v>
      </c>
      <c r="P51" s="61">
        <f t="shared" si="10"/>
        <v>23.452348312518328</v>
      </c>
      <c r="Q51" s="61">
        <f t="shared" si="10"/>
        <v>23.593249714953522</v>
      </c>
      <c r="R51" s="61">
        <f t="shared" si="10"/>
        <v>23.696257318148476</v>
      </c>
      <c r="S51" s="61">
        <f t="shared" si="10"/>
        <v>23.770366819446565</v>
      </c>
      <c r="T51" s="61">
        <f t="shared" si="10"/>
        <v>23.822467489462511</v>
      </c>
      <c r="U51" s="61">
        <f t="shared" si="10"/>
        <v>23.857621366590077</v>
      </c>
      <c r="V51" s="61">
        <f t="shared" si="10"/>
        <v>23.879349435608027</v>
      </c>
      <c r="W51" s="61">
        <f t="shared" si="10"/>
        <v>23.889871726954148</v>
      </c>
      <c r="X51" s="61">
        <f t="shared" si="10"/>
        <v>23.890276310018539</v>
      </c>
      <c r="Y51" s="61">
        <f t="shared" si="10"/>
        <v>23.880607478516506</v>
      </c>
      <c r="Z51" s="61">
        <f t="shared" si="10"/>
        <v>23.859870455073725</v>
      </c>
      <c r="AA51" s="61">
        <f t="shared" si="10"/>
        <v>23.825953056821444</v>
      </c>
      <c r="AB51" s="61">
        <f t="shared" si="10"/>
        <v>23.775467900681285</v>
      </c>
      <c r="AC51" s="61">
        <f t="shared" si="10"/>
        <v>23.703525820616118</v>
      </c>
      <c r="AD51" s="61">
        <f t="shared" si="10"/>
        <v>23.603466596571327</v>
      </c>
      <c r="AE51" s="61">
        <f t="shared" si="10"/>
        <v>23.466601275067163</v>
      </c>
      <c r="AF51" s="61">
        <f t="shared" si="10"/>
        <v>23.282063244876952</v>
      </c>
      <c r="AG51" s="61">
        <f t="shared" si="10"/>
        <v>23.036916204704934</v>
      </c>
      <c r="AH51" s="61">
        <f t="shared" si="10"/>
        <v>22.71670173190158</v>
      </c>
      <c r="AI51" s="61">
        <f t="shared" si="10"/>
        <v>22.306579574946539</v>
      </c>
      <c r="AJ51" s="61">
        <f t="shared" si="10"/>
        <v>21.793065504976333</v>
      </c>
      <c r="AK51" s="61">
        <f t="shared" si="10"/>
        <v>21.166098364056722</v>
      </c>
      <c r="AL51" s="61">
        <f t="shared" si="10"/>
        <v>20.420880229367853</v>
      </c>
      <c r="AM51" s="61">
        <f t="shared" si="10"/>
        <v>19.558844846379849</v>
      </c>
      <c r="AN51" s="61">
        <f t="shared" si="10"/>
        <v>18.587369658028269</v>
      </c>
      <c r="AO51" s="61">
        <f t="shared" si="10"/>
        <v>17.518350156161077</v>
      </c>
      <c r="AP51" s="61">
        <f t="shared" si="10"/>
        <v>16.366181563230377</v>
      </c>
      <c r="AQ51" s="61">
        <f t="shared" si="10"/>
        <v>15.145791998762581</v>
      </c>
      <c r="AR51" s="61">
        <f t="shared" si="10"/>
        <v>13.871165890996842</v>
      </c>
      <c r="AS51" s="61">
        <f t="shared" si="10"/>
        <v>12.906818678182645</v>
      </c>
    </row>
    <row r="52" spans="1:45" ht="13" thickTop="1">
      <c r="A52" s="55"/>
      <c r="B52" s="101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</row>
    <row r="53" spans="1:45" ht="1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5" t="s">
        <v>60</v>
      </c>
      <c r="AA53" s="45"/>
      <c r="AB53" s="46"/>
      <c r="AC53" s="46"/>
      <c r="AD53" s="45" t="s">
        <v>54</v>
      </c>
      <c r="AE53" s="10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</row>
    <row r="54" spans="1:45" ht="15">
      <c r="A54" s="45" t="s">
        <v>12</v>
      </c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 t="s">
        <v>57</v>
      </c>
      <c r="AA54" s="46" t="s">
        <v>58</v>
      </c>
      <c r="AB54" s="46" t="s">
        <v>59</v>
      </c>
      <c r="AC54" s="46" t="s">
        <v>53</v>
      </c>
      <c r="AD54" s="46" t="s">
        <v>55</v>
      </c>
      <c r="AE54" s="46" t="s">
        <v>56</v>
      </c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</row>
    <row r="55" spans="1:45">
      <c r="A55" s="47" t="s">
        <v>3</v>
      </c>
      <c r="B55" s="47" t="s">
        <v>0</v>
      </c>
      <c r="C55" s="46">
        <v>0</v>
      </c>
      <c r="D55" s="46">
        <v>0.7</v>
      </c>
      <c r="E55" s="46">
        <v>1.1499999999999999</v>
      </c>
      <c r="F55" s="46">
        <v>1.62</v>
      </c>
      <c r="G55" s="46">
        <v>2.12</v>
      </c>
      <c r="H55" s="46">
        <v>2.68</v>
      </c>
      <c r="I55" s="46">
        <v>3.25</v>
      </c>
      <c r="J55" s="46">
        <v>3.82</v>
      </c>
      <c r="K55" s="46">
        <v>4.41</v>
      </c>
      <c r="L55" s="46">
        <v>5</v>
      </c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>
        <f t="array" ref="Z55:AB55">LINEST(C55:L55, C3:L3^{1;2})</f>
        <v>7.790260955817151E-6</v>
      </c>
      <c r="AA55" s="46">
        <v>1.9953323377217929E-2</v>
      </c>
      <c r="AB55" s="46">
        <v>8.890567067710764E-2</v>
      </c>
      <c r="AC55" s="46">
        <f>AB55-AD55</f>
        <v>8.890567067710764E-2</v>
      </c>
      <c r="AD55" s="46">
        <f>0/Parameters!$C$3*1000</f>
        <v>0</v>
      </c>
      <c r="AE55" s="46">
        <v>0</v>
      </c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</row>
    <row r="56" spans="1:45">
      <c r="A56" s="48"/>
      <c r="B56" s="49">
        <v>-0.5</v>
      </c>
      <c r="C56" s="46">
        <v>0</v>
      </c>
      <c r="D56" s="46">
        <v>0.2</v>
      </c>
      <c r="E56" s="46">
        <v>0.46</v>
      </c>
      <c r="F56" s="46">
        <v>0.8</v>
      </c>
      <c r="G56" s="46">
        <v>1.2</v>
      </c>
      <c r="H56" s="46">
        <v>1.63</v>
      </c>
      <c r="I56" s="46">
        <v>2.13</v>
      </c>
      <c r="J56" s="46">
        <v>2.7</v>
      </c>
      <c r="K56" s="46">
        <v>3.28</v>
      </c>
      <c r="L56" s="46">
        <v>3.89</v>
      </c>
      <c r="M56" s="46">
        <v>4.5</v>
      </c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>
        <f t="array" ref="Z56:AB56">LINEST(C56:M56, C3:M3^{1;2})</f>
        <v>3.8893699769652856E-5</v>
      </c>
      <c r="AA56" s="46">
        <v>8.580191967865438E-3</v>
      </c>
      <c r="AB56" s="46">
        <v>-3.5936192437731607E-2</v>
      </c>
      <c r="AC56" s="46">
        <f t="shared" ref="AC56:AC63" si="11">AB56-AD56</f>
        <v>-0.36926952577106492</v>
      </c>
      <c r="AD56" s="46">
        <f>-B56/Parameters!$C$3*1000</f>
        <v>0.33333333333333331</v>
      </c>
      <c r="AE56" s="46">
        <f t="shared" ref="AE56:AE62" si="12">(-AA56+(AA56^2-4*Z56*AC56)^0.5)/(2*Z56)</f>
        <v>36.874006947935747</v>
      </c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</row>
    <row r="57" spans="1:45">
      <c r="A57" s="46"/>
      <c r="B57" s="49">
        <v>-1</v>
      </c>
      <c r="C57" s="46">
        <v>0</v>
      </c>
      <c r="D57" s="46">
        <v>0.02</v>
      </c>
      <c r="E57" s="46">
        <v>0.08</v>
      </c>
      <c r="F57" s="46">
        <v>0.24</v>
      </c>
      <c r="G57" s="46">
        <v>0.48</v>
      </c>
      <c r="H57" s="46">
        <v>0.77</v>
      </c>
      <c r="I57" s="46">
        <v>1.1499999999999999</v>
      </c>
      <c r="J57" s="46">
        <v>1.6</v>
      </c>
      <c r="K57" s="46">
        <v>2.12</v>
      </c>
      <c r="L57" s="46">
        <v>2.72</v>
      </c>
      <c r="M57" s="46">
        <v>3.3</v>
      </c>
      <c r="N57" s="46">
        <v>3.88</v>
      </c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>
        <f t="array" ref="Z57:AB57">LINEST(C57:N57, C$3:N$3^{1;2})</f>
        <v>5.258083367377885E-5</v>
      </c>
      <c r="AA57" s="46">
        <v>3.5625752070088848E-5</v>
      </c>
      <c r="AB57" s="46">
        <v>-2.9466788671062671E-2</v>
      </c>
      <c r="AC57" s="46">
        <f t="shared" si="11"/>
        <v>-0.6961334553377293</v>
      </c>
      <c r="AD57" s="46">
        <f>-B57/Parameters!$C$3*1000</f>
        <v>0.66666666666666663</v>
      </c>
      <c r="AE57" s="46">
        <f t="shared" si="12"/>
        <v>114.72388654270638</v>
      </c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</row>
    <row r="58" spans="1:45">
      <c r="A58" s="46"/>
      <c r="B58" s="49">
        <v>-1.5</v>
      </c>
      <c r="C58" s="46"/>
      <c r="D58" s="46"/>
      <c r="E58" s="46">
        <v>0</v>
      </c>
      <c r="F58" s="46">
        <v>0.01</v>
      </c>
      <c r="G58" s="46">
        <v>0.11</v>
      </c>
      <c r="H58" s="46">
        <v>0.28000000000000003</v>
      </c>
      <c r="I58" s="46">
        <v>0.5</v>
      </c>
      <c r="J58" s="46">
        <v>0.77</v>
      </c>
      <c r="K58" s="46">
        <v>1.1499999999999999</v>
      </c>
      <c r="L58" s="46">
        <v>1.61</v>
      </c>
      <c r="M58" s="46">
        <v>2.1</v>
      </c>
      <c r="N58" s="46">
        <v>2.65</v>
      </c>
      <c r="O58" s="46">
        <v>3.25</v>
      </c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>
        <f t="array" ref="Z58:AB58">LINEST(E58:O58, E$3:O$3^{1;2})</f>
        <v>5.3582304697981326E-5</v>
      </c>
      <c r="AA58" s="46">
        <v>-5.6448797797284123E-3</v>
      </c>
      <c r="AB58" s="46">
        <v>0.14015386592745793</v>
      </c>
      <c r="AC58" s="46">
        <f t="shared" si="11"/>
        <v>-0.85984613407254207</v>
      </c>
      <c r="AD58" s="46">
        <f>-B58/Parameters!$C$3*1000</f>
        <v>1</v>
      </c>
      <c r="AE58" s="46">
        <f t="shared" si="12"/>
        <v>189.86757307682947</v>
      </c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</row>
    <row r="59" spans="1:45">
      <c r="A59" s="46"/>
      <c r="B59" s="49">
        <v>-2</v>
      </c>
      <c r="C59" s="46"/>
      <c r="D59" s="46"/>
      <c r="E59" s="46"/>
      <c r="F59" s="46"/>
      <c r="G59" s="46">
        <v>0</v>
      </c>
      <c r="H59" s="46">
        <v>0.05</v>
      </c>
      <c r="I59" s="46">
        <v>0.13</v>
      </c>
      <c r="J59" s="46">
        <v>0.28000000000000003</v>
      </c>
      <c r="K59" s="46">
        <v>0.5</v>
      </c>
      <c r="L59" s="46">
        <v>0.8</v>
      </c>
      <c r="M59" s="46">
        <v>1.2</v>
      </c>
      <c r="N59" s="46">
        <v>1.65</v>
      </c>
      <c r="O59" s="46">
        <v>2.16</v>
      </c>
      <c r="P59" s="46">
        <v>2.7</v>
      </c>
      <c r="Q59" s="46"/>
      <c r="R59" s="46"/>
      <c r="S59" s="46"/>
      <c r="T59" s="46"/>
      <c r="U59" s="46"/>
      <c r="V59" s="46"/>
      <c r="W59" s="46"/>
      <c r="X59" s="46"/>
      <c r="Y59" s="46"/>
      <c r="Z59" s="46">
        <f t="array" ref="Z59:AB59">LINEST(G59:P59, G3:P3^{1;2})</f>
        <v>5.6113764907539288E-5</v>
      </c>
      <c r="AA59" s="46">
        <v>-1.1796846521519262E-2</v>
      </c>
      <c r="AB59" s="46">
        <v>0.62911932090116229</v>
      </c>
      <c r="AC59" s="46">
        <f t="shared" si="11"/>
        <v>-0.70421401243217097</v>
      </c>
      <c r="AD59" s="46">
        <f>-B59/Parameters!$C$3*1000</f>
        <v>1.3333333333333333</v>
      </c>
      <c r="AE59" s="46">
        <f t="shared" si="12"/>
        <v>258.73514090980439</v>
      </c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</row>
    <row r="60" spans="1:45">
      <c r="A60" s="46"/>
      <c r="B60" s="49">
        <v>-2.5</v>
      </c>
      <c r="C60" s="46"/>
      <c r="D60" s="46"/>
      <c r="E60" s="46"/>
      <c r="F60" s="46"/>
      <c r="G60" s="46"/>
      <c r="H60" s="46">
        <v>0</v>
      </c>
      <c r="I60" s="46">
        <v>0.01</v>
      </c>
      <c r="J60" s="46">
        <v>0.03</v>
      </c>
      <c r="K60" s="46">
        <v>0.12</v>
      </c>
      <c r="L60" s="46">
        <v>0.28000000000000003</v>
      </c>
      <c r="M60" s="46">
        <v>0.5</v>
      </c>
      <c r="N60" s="46">
        <v>0.8</v>
      </c>
      <c r="O60" s="46">
        <v>1.2</v>
      </c>
      <c r="P60" s="46">
        <v>1.68</v>
      </c>
      <c r="Q60" s="46">
        <v>2.2000000000000002</v>
      </c>
      <c r="R60" s="46"/>
      <c r="S60" s="46"/>
      <c r="T60" s="46"/>
      <c r="U60" s="46"/>
      <c r="V60" s="46"/>
      <c r="W60" s="46"/>
      <c r="X60" s="46"/>
      <c r="Y60" s="46"/>
      <c r="Z60" s="46">
        <f t="array" ref="Z60:AB60">LINEST(H60:Q60, H3:Q3^{1;2})</f>
        <v>5.7613538788935605E-5</v>
      </c>
      <c r="AA60" s="46">
        <v>-1.7764281240326356E-2</v>
      </c>
      <c r="AB60" s="46">
        <v>1.3532785424118519</v>
      </c>
      <c r="AC60" s="46">
        <f t="shared" si="11"/>
        <v>-0.31338812425481488</v>
      </c>
      <c r="AD60" s="46">
        <f>-B60/Parameters!$C$3*1000</f>
        <v>1.6666666666666667</v>
      </c>
      <c r="AE60" s="46">
        <f t="shared" si="12"/>
        <v>325.0685422951089</v>
      </c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</row>
    <row r="61" spans="1:45">
      <c r="A61" s="46"/>
      <c r="B61" s="49">
        <v>-3</v>
      </c>
      <c r="C61" s="46"/>
      <c r="D61" s="46"/>
      <c r="E61" s="46"/>
      <c r="F61" s="46"/>
      <c r="G61" s="46"/>
      <c r="H61" s="46"/>
      <c r="I61" s="46"/>
      <c r="J61" s="46">
        <v>0</v>
      </c>
      <c r="K61" s="46">
        <v>0.01</v>
      </c>
      <c r="L61" s="46">
        <v>0.08</v>
      </c>
      <c r="M61" s="46">
        <v>0.18</v>
      </c>
      <c r="N61" s="46">
        <v>0.36</v>
      </c>
      <c r="O61" s="46">
        <v>0.6</v>
      </c>
      <c r="P61" s="46">
        <v>0.91</v>
      </c>
      <c r="Q61" s="46">
        <v>1.3</v>
      </c>
      <c r="R61" s="46">
        <v>1.7</v>
      </c>
      <c r="S61" s="46"/>
      <c r="T61" s="46"/>
      <c r="U61" s="46"/>
      <c r="V61" s="46"/>
      <c r="W61" s="46"/>
      <c r="X61" s="46"/>
      <c r="Y61" s="46"/>
      <c r="Z61" s="46">
        <f t="array" ref="Z61:AB61">LINEST(J61:R61, J3:R3^{1;2})</f>
        <v>4.920421696848485E-5</v>
      </c>
      <c r="AA61" s="46">
        <v>-1.8556611261472431E-2</v>
      </c>
      <c r="AB61" s="46">
        <v>1.7476479121707511</v>
      </c>
      <c r="AC61" s="46">
        <f t="shared" si="11"/>
        <v>-0.25235208782924889</v>
      </c>
      <c r="AD61" s="46">
        <f>-B61/Parameters!$C$3*1000</f>
        <v>2</v>
      </c>
      <c r="AE61" s="46">
        <f t="shared" si="12"/>
        <v>390.27571141284955</v>
      </c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</row>
    <row r="62" spans="1:45">
      <c r="A62" s="46"/>
      <c r="B62" s="49">
        <v>-3.5</v>
      </c>
      <c r="C62" s="46"/>
      <c r="D62" s="46"/>
      <c r="E62" s="46"/>
      <c r="F62" s="46"/>
      <c r="G62" s="46"/>
      <c r="H62" s="46"/>
      <c r="I62" s="46"/>
      <c r="J62" s="46"/>
      <c r="K62" s="46"/>
      <c r="L62" s="46">
        <v>0</v>
      </c>
      <c r="M62" s="46">
        <v>0.02</v>
      </c>
      <c r="N62" s="46">
        <v>0.1</v>
      </c>
      <c r="O62" s="46">
        <v>0.22</v>
      </c>
      <c r="P62" s="46">
        <v>0.4</v>
      </c>
      <c r="Q62" s="46">
        <v>0.62</v>
      </c>
      <c r="R62" s="46">
        <v>0.95</v>
      </c>
      <c r="S62" s="46"/>
      <c r="T62" s="46"/>
      <c r="U62" s="46"/>
      <c r="V62" s="46"/>
      <c r="W62" s="46"/>
      <c r="X62" s="46"/>
      <c r="Y62" s="46"/>
      <c r="Z62" s="46">
        <f t="array" ref="Z62:AB62">LINEST(L62:R62, L3:R3^{1;2})</f>
        <v>4.5222331849673129E-5</v>
      </c>
      <c r="AA62" s="46">
        <v>-2.0921886719317377E-2</v>
      </c>
      <c r="AB62" s="46">
        <v>2.4235823628581805</v>
      </c>
      <c r="AC62" s="46">
        <f t="shared" si="11"/>
        <v>9.0249029524847035E-2</v>
      </c>
      <c r="AD62" s="46">
        <f>-B62/Parameters!$C$3*1000</f>
        <v>2.3333333333333335</v>
      </c>
      <c r="AE62" s="46">
        <f t="shared" si="12"/>
        <v>458.29041667568782</v>
      </c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</row>
    <row r="63" spans="1:45">
      <c r="A63" s="46"/>
      <c r="B63" s="49">
        <v>-4</v>
      </c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>
        <v>0</v>
      </c>
      <c r="O63" s="46">
        <v>0.02</v>
      </c>
      <c r="P63" s="46">
        <v>0.12</v>
      </c>
      <c r="Q63" s="46">
        <v>0.27</v>
      </c>
      <c r="R63" s="46">
        <v>0.4</v>
      </c>
      <c r="S63" s="46"/>
      <c r="T63" s="46"/>
      <c r="U63" s="46"/>
      <c r="V63" s="46"/>
      <c r="W63" s="46"/>
      <c r="X63" s="46"/>
      <c r="Y63" s="46"/>
      <c r="Z63" s="46">
        <f t="array" ref="Z63:AB63">LINEST(N63:R63, N3:R3^{1;2})</f>
        <v>3.0857142857142897E-5</v>
      </c>
      <c r="AA63" s="46">
        <v>-1.5857142857142882E-2</v>
      </c>
      <c r="AB63" s="46">
        <v>2.0177142857142893</v>
      </c>
      <c r="AC63" s="46">
        <f t="shared" si="11"/>
        <v>-0.64895238095237717</v>
      </c>
      <c r="AD63" s="46">
        <f>-B63/Parameters!$C$3*1000</f>
        <v>2.6666666666666665</v>
      </c>
      <c r="AE63" s="46">
        <f>(-AA63+(AA63^2-4*Z63*AC63)^0.5)/(2*Z63)</f>
        <v>551.98903722390048</v>
      </c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</row>
    <row r="64" spans="1:45">
      <c r="A64" s="46"/>
      <c r="B64" s="49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</row>
    <row r="65" spans="1:45">
      <c r="A65" s="46"/>
      <c r="B65" s="49" t="s">
        <v>17</v>
      </c>
      <c r="C65" s="46" t="s">
        <v>22</v>
      </c>
      <c r="D65" s="46">
        <f>('Valve Spec'!$B$4/'Graph Data'!D3)*1000</f>
        <v>40</v>
      </c>
      <c r="E65" s="46">
        <f>('Valve Spec'!$B$4/'Graph Data'!E3)*1000</f>
        <v>20</v>
      </c>
      <c r="F65" s="46">
        <f>('Valve Spec'!$B$4/'Graph Data'!F3)*1000</f>
        <v>13.333333333333334</v>
      </c>
      <c r="G65" s="46">
        <f>('Valve Spec'!$B$4/'Graph Data'!G3)*1000</f>
        <v>10</v>
      </c>
      <c r="H65" s="46">
        <f>('Valve Spec'!$B$4/'Graph Data'!H3)*1000</f>
        <v>8</v>
      </c>
      <c r="I65" s="46">
        <f>('Valve Spec'!$B$4/'Graph Data'!I3)*1000</f>
        <v>6.666666666666667</v>
      </c>
      <c r="J65" s="46">
        <f>('Valve Spec'!$B$4/'Graph Data'!J3)*1000</f>
        <v>5.7142857142857144</v>
      </c>
      <c r="K65" s="46">
        <f>('Valve Spec'!$B$4/'Graph Data'!K3)*1000</f>
        <v>5</v>
      </c>
      <c r="L65" s="46">
        <f>('Valve Spec'!$B$4/'Graph Data'!L3)*1000</f>
        <v>4.4228217602830613</v>
      </c>
      <c r="M65" s="46">
        <f>('Valve Spec'!$B$4/'Graph Data'!M3)*1000</f>
        <v>4</v>
      </c>
      <c r="N65" s="46">
        <f>('Valve Spec'!$B$4/'Graph Data'!N3)*1000</f>
        <v>3.6363636363636362</v>
      </c>
      <c r="O65" s="46">
        <f>('Valve Spec'!$B$4/'Graph Data'!O3)*1000</f>
        <v>3.3333333333333335</v>
      </c>
      <c r="P65" s="46">
        <f>('Valve Spec'!$B$4/'Graph Data'!P3)*1000</f>
        <v>3.0769230769230771</v>
      </c>
      <c r="Q65" s="46">
        <f>('Valve Spec'!$B$4/'Graph Data'!Q3)*1000</f>
        <v>2.8571428571428572</v>
      </c>
      <c r="R65" s="46">
        <f>('Valve Spec'!$B$4/'Graph Data'!R3)*1000</f>
        <v>2.6666666666666665</v>
      </c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</row>
    <row r="66" spans="1:45" ht="13" thickBot="1">
      <c r="A66" s="46"/>
      <c r="B66" s="49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50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</row>
    <row r="67" spans="1:45" ht="19.5" customHeight="1" thickTop="1" thickBot="1">
      <c r="A67" s="46"/>
      <c r="B67" s="51" t="s">
        <v>21</v>
      </c>
      <c r="C67" s="52">
        <v>10</v>
      </c>
      <c r="D67" s="52">
        <f>C67*1.18</f>
        <v>11.799999999999999</v>
      </c>
      <c r="E67" s="52">
        <f t="shared" ref="E67:AR67" si="13">D67*1.18</f>
        <v>13.923999999999998</v>
      </c>
      <c r="F67" s="52">
        <f t="shared" si="13"/>
        <v>16.430319999999995</v>
      </c>
      <c r="G67" s="52">
        <f t="shared" si="13"/>
        <v>19.387777599999993</v>
      </c>
      <c r="H67" s="52">
        <f t="shared" si="13"/>
        <v>22.877577567999989</v>
      </c>
      <c r="I67" s="52">
        <f t="shared" si="13"/>
        <v>26.995541530239986</v>
      </c>
      <c r="J67" s="52">
        <f t="shared" si="13"/>
        <v>31.854739005683182</v>
      </c>
      <c r="K67" s="52">
        <f t="shared" si="13"/>
        <v>37.588592026706152</v>
      </c>
      <c r="L67" s="52">
        <f t="shared" si="13"/>
        <v>44.354538591513254</v>
      </c>
      <c r="M67" s="52">
        <f t="shared" si="13"/>
        <v>52.338355537985635</v>
      </c>
      <c r="N67" s="52">
        <f t="shared" si="13"/>
        <v>61.759259534823045</v>
      </c>
      <c r="O67" s="52">
        <f t="shared" si="13"/>
        <v>72.875926251091187</v>
      </c>
      <c r="P67" s="52">
        <f t="shared" si="13"/>
        <v>85.993592976287601</v>
      </c>
      <c r="Q67" s="52">
        <f t="shared" si="13"/>
        <v>101.47243971201937</v>
      </c>
      <c r="R67" s="52">
        <f t="shared" si="13"/>
        <v>119.73747886018285</v>
      </c>
      <c r="S67" s="52">
        <f t="shared" si="13"/>
        <v>141.29022505501575</v>
      </c>
      <c r="T67" s="52">
        <f t="shared" si="13"/>
        <v>166.72246556491859</v>
      </c>
      <c r="U67" s="52">
        <f t="shared" si="13"/>
        <v>196.73250936660392</v>
      </c>
      <c r="V67" s="52">
        <f t="shared" si="13"/>
        <v>232.14436105259261</v>
      </c>
      <c r="W67" s="52">
        <f t="shared" si="13"/>
        <v>273.93034604205928</v>
      </c>
      <c r="X67" s="52">
        <f t="shared" si="13"/>
        <v>323.23780832962996</v>
      </c>
      <c r="Y67" s="52">
        <f t="shared" si="13"/>
        <v>381.42061382896333</v>
      </c>
      <c r="Z67" s="52">
        <f t="shared" si="13"/>
        <v>450.07632431817672</v>
      </c>
      <c r="AA67" s="52">
        <f t="shared" si="13"/>
        <v>531.09006269544852</v>
      </c>
      <c r="AB67" s="52">
        <f t="shared" si="13"/>
        <v>626.68627398062927</v>
      </c>
      <c r="AC67" s="52">
        <f t="shared" si="13"/>
        <v>739.48980329714254</v>
      </c>
      <c r="AD67" s="52">
        <f t="shared" si="13"/>
        <v>872.59796789062818</v>
      </c>
      <c r="AE67" s="52">
        <f t="shared" si="13"/>
        <v>1029.6656021109411</v>
      </c>
      <c r="AF67" s="52">
        <f t="shared" si="13"/>
        <v>1215.0054104909104</v>
      </c>
      <c r="AG67" s="52">
        <f t="shared" si="13"/>
        <v>1433.7063843792741</v>
      </c>
      <c r="AH67" s="52">
        <f t="shared" si="13"/>
        <v>1691.7735335675434</v>
      </c>
      <c r="AI67" s="52">
        <f t="shared" si="13"/>
        <v>1996.2927696097011</v>
      </c>
      <c r="AJ67" s="52">
        <f t="shared" si="13"/>
        <v>2355.6254681394471</v>
      </c>
      <c r="AK67" s="52">
        <f t="shared" si="13"/>
        <v>2779.6380524045476</v>
      </c>
      <c r="AL67" s="52">
        <f t="shared" si="13"/>
        <v>3279.972901837366</v>
      </c>
      <c r="AM67" s="52">
        <f t="shared" si="13"/>
        <v>3870.3680241680918</v>
      </c>
      <c r="AN67" s="52">
        <f t="shared" si="13"/>
        <v>4567.0342685183477</v>
      </c>
      <c r="AO67" s="52">
        <f t="shared" si="13"/>
        <v>5389.1004368516496</v>
      </c>
      <c r="AP67" s="52">
        <f t="shared" si="13"/>
        <v>6359.1385154849459</v>
      </c>
      <c r="AQ67" s="52">
        <f t="shared" si="13"/>
        <v>7503.7834482722355</v>
      </c>
      <c r="AR67" s="52">
        <f t="shared" si="13"/>
        <v>8854.4644689612378</v>
      </c>
      <c r="AS67" s="52">
        <v>10000</v>
      </c>
    </row>
    <row r="68" spans="1:45" ht="39.75" customHeight="1" thickTop="1" thickBot="1">
      <c r="A68" s="53" t="s">
        <v>34</v>
      </c>
      <c r="B68" s="51" t="s">
        <v>32</v>
      </c>
      <c r="C68" s="52">
        <f>1+((2*PI()*C67*(Parameters!$D$3/1000000)*Parameters!$C$3)^2)</f>
        <v>5.2991996771145251</v>
      </c>
      <c r="D68" s="52">
        <f>1+((2*PI()*D67*(Parameters!$D$3/1000000)*Parameters!$C$3)^2)</f>
        <v>6.9862056304142612</v>
      </c>
      <c r="E68" s="52">
        <f>1+((2*PI()*E67*(Parameters!$D$3/1000000)*Parameters!$C$3)^2)</f>
        <v>9.335192719788818</v>
      </c>
      <c r="F68" s="52">
        <f>1+((2*PI()*F67*(Parameters!$D$3/1000000)*Parameters!$C$3)^2)</f>
        <v>12.605922343033949</v>
      </c>
      <c r="G68" s="52">
        <f>1+((2*PI()*G67*(Parameters!$D$3/1000000)*Parameters!$C$3)^2)</f>
        <v>17.160086270440466</v>
      </c>
      <c r="H68" s="52">
        <f>1+((2*PI()*H67*(Parameters!$D$3/1000000)*Parameters!$C$3)^2)</f>
        <v>23.501304122961301</v>
      </c>
      <c r="I68" s="52">
        <f>1+((2*PI()*I67*(Parameters!$D$3/1000000)*Parameters!$C$3)^2)</f>
        <v>32.330815860811306</v>
      </c>
      <c r="J68" s="52">
        <f>1+((2*PI()*J67*(Parameters!$D$3/1000000)*Parameters!$C$3)^2)</f>
        <v>44.625028004593673</v>
      </c>
      <c r="K68" s="52">
        <f>1+((2*PI()*K67*(Parameters!$D$3/1000000)*Parameters!$C$3)^2)</f>
        <v>61.743488993596216</v>
      </c>
      <c r="L68" s="52">
        <f>1+((2*PI()*L67*(Parameters!$D$3/1000000)*Parameters!$C$3)^2)</f>
        <v>85.57923407468337</v>
      </c>
      <c r="M68" s="52">
        <f>1+((2*PI()*M67*(Parameters!$D$3/1000000)*Parameters!$C$3)^2)</f>
        <v>118.76812552558904</v>
      </c>
      <c r="N68" s="52">
        <f>1+((2*PI()*N67*(Parameters!$D$3/1000000)*Parameters!$C$3)^2)</f>
        <v>164.98033798183019</v>
      </c>
      <c r="O68" s="52">
        <f>1+((2*PI()*O67*(Parameters!$D$3/1000000)*Parameters!$C$3)^2)</f>
        <v>229.32622260590031</v>
      </c>
      <c r="P68" s="52">
        <f>1+((2*PI()*P67*(Parameters!$D$3/1000000)*Parameters!$C$3)^2)</f>
        <v>318.92143235645563</v>
      </c>
      <c r="Q68" s="52">
        <f>1+((2*PI()*Q67*(Parameters!$D$3/1000000)*Parameters!$C$3)^2)</f>
        <v>443.67380241312867</v>
      </c>
      <c r="R68" s="52">
        <f>1+((2*PI()*R67*(Parameters!$D$3/1000000)*Parameters!$C$3)^2)</f>
        <v>617.37900248004019</v>
      </c>
      <c r="S68" s="52">
        <f>1+((2*PI()*S67*(Parameters!$D$3/1000000)*Parameters!$C$3)^2)</f>
        <v>859.24612305320841</v>
      </c>
      <c r="T68" s="52">
        <f>1+((2*PI()*T67*(Parameters!$D$3/1000000)*Parameters!$C$3)^2)</f>
        <v>1196.0219017392872</v>
      </c>
      <c r="U68" s="52">
        <f>1+((2*PI()*U67*(Parameters!$D$3/1000000)*Parameters!$C$3)^2)</f>
        <v>1664.948495981783</v>
      </c>
      <c r="V68" s="52">
        <f>1+((2*PI()*V67*(Parameters!$D$3/1000000)*Parameters!$C$3)^2)</f>
        <v>2317.8818858050349</v>
      </c>
      <c r="W68" s="52">
        <f>1+((2*PI()*W67*(Parameters!$D$3/1000000)*Parameters!$C$3)^2)</f>
        <v>3227.0263377949309</v>
      </c>
      <c r="X68" s="52">
        <f>1+((2*PI()*X67*(Parameters!$D$3/1000000)*Parameters!$C$3)^2)</f>
        <v>4492.9190727456598</v>
      </c>
      <c r="Y68" s="52">
        <f>1+((2*PI()*Y67*(Parameters!$D$3/1000000)*Parameters!$C$3)^2)</f>
        <v>6255.5481168910574</v>
      </c>
      <c r="Z68" s="52">
        <f>1+((2*PI()*Z67*(Parameters!$D$3/1000000)*Parameters!$C$3)^2)</f>
        <v>8709.8327979591068</v>
      </c>
      <c r="AA68" s="52">
        <f>1+((2*PI()*AA67*(Parameters!$D$3/1000000)*Parameters!$C$3)^2)</f>
        <v>12127.17878787826</v>
      </c>
      <c r="AB68" s="52">
        <f>1+((2*PI()*AB67*(Parameters!$D$3/1000000)*Parameters!$C$3)^2)</f>
        <v>16885.491344241695</v>
      </c>
      <c r="AC68" s="52">
        <f>1+((2*PI()*AC67*(Parameters!$D$3/1000000)*Parameters!$C$3)^2)</f>
        <v>23510.965747722134</v>
      </c>
      <c r="AD68" s="52">
        <f>1+((2*PI()*AD67*(Parameters!$D$3/1000000)*Parameters!$C$3)^2)</f>
        <v>32736.27630712829</v>
      </c>
      <c r="AE68" s="52">
        <f>1+((2*PI()*AE67*(Parameters!$D$3/1000000)*Parameters!$C$3)^2)</f>
        <v>45581.598730045422</v>
      </c>
      <c r="AF68" s="52">
        <f>1+((2*PI()*AF67*(Parameters!$D$3/1000000)*Parameters!$C$3)^2)</f>
        <v>63467.425671715253</v>
      </c>
      <c r="AG68" s="52">
        <f>1+((2*PI()*AG67*(Parameters!$D$3/1000000)*Parameters!$C$3)^2)</f>
        <v>88371.651105296289</v>
      </c>
      <c r="AH68" s="52">
        <f>1+((2*PI()*AH67*(Parameters!$D$3/1000000)*Parameters!$C$3)^2)</f>
        <v>123048.29459901452</v>
      </c>
      <c r="AI68" s="52">
        <f>1+((2*PI()*AI67*(Parameters!$D$3/1000000)*Parameters!$C$3)^2)</f>
        <v>171332.05299966782</v>
      </c>
      <c r="AJ68" s="52">
        <f>1+((2*PI()*AJ67*(Parameters!$D$3/1000000)*Parameters!$C$3)^2)</f>
        <v>238562.35819673745</v>
      </c>
      <c r="AK68" s="52">
        <f>1+((2*PI()*AK67*(Parameters!$D$3/1000000)*Parameters!$C$3)^2)</f>
        <v>332173.83515313722</v>
      </c>
      <c r="AL68" s="52">
        <f>1+((2*PI()*AL67*(Parameters!$D$3/1000000)*Parameters!$C$3)^2)</f>
        <v>462518.45566722821</v>
      </c>
      <c r="AM68" s="52">
        <f>1+((2*PI()*AM67*(Parameters!$D$3/1000000)*Parameters!$C$3)^2)</f>
        <v>644010.30527104856</v>
      </c>
      <c r="AN68" s="52">
        <f>1+((2*PI()*AN67*(Parameters!$D$3/1000000)*Parameters!$C$3)^2)</f>
        <v>896719.55665940756</v>
      </c>
      <c r="AO68" s="52">
        <f>1+((2*PI()*AO67*(Parameters!$D$3/1000000)*Parameters!$C$3)^2)</f>
        <v>1248591.918292559</v>
      </c>
      <c r="AP68" s="52">
        <f>1+((2*PI()*AP67*(Parameters!$D$3/1000000)*Parameters!$C$3)^2)</f>
        <v>1738538.9946305586</v>
      </c>
      <c r="AQ68" s="52">
        <f>1+((2*PI()*AQ67*(Parameters!$D$3/1000000)*Parameters!$C$3)^2)</f>
        <v>2420741.3037235891</v>
      </c>
      <c r="AR68" s="52">
        <f>1+((2*PI()*AR67*(Parameters!$D$3/1000000)*Parameters!$C$3)^2)</f>
        <v>3370639.7989047267</v>
      </c>
      <c r="AS68" s="52">
        <f>1+((2*PI()*AS67*(Parameters!$D$3/1000000)*Parameters!$C$3)^2)</f>
        <v>4299200.677114523</v>
      </c>
    </row>
    <row r="69" spans="1:45" ht="19.5" customHeight="1" thickTop="1" thickBot="1">
      <c r="A69" s="46"/>
      <c r="B69" s="51" t="s">
        <v>31</v>
      </c>
      <c r="C69" s="52">
        <f>(1+((('Valve Spec'!$D$4+1)*Parameters!$C$3)/('Valve Spec'!$E$4+(1/((1/Parameters!$B$3)+(1/Parameters!$G$3))))))^2</f>
        <v>4.6409469387755102</v>
      </c>
      <c r="D69" s="52">
        <f>(1+((('Valve Spec'!$D$4+1)*Parameters!$C$3)/('Valve Spec'!$E$4+(1/((1/Parameters!$B$3)+(1/Parameters!$G$3))))))^2</f>
        <v>4.6409469387755102</v>
      </c>
      <c r="E69" s="52">
        <f>(1+((('Valve Spec'!$D$4+1)*Parameters!$C$3)/('Valve Spec'!$E$4+(1/((1/Parameters!$B$3)+(1/Parameters!$G$3))))))^2</f>
        <v>4.6409469387755102</v>
      </c>
      <c r="F69" s="52">
        <f>(1+((('Valve Spec'!$D$4+1)*Parameters!$C$3)/('Valve Spec'!$E$4+(1/((1/Parameters!$B$3)+(1/Parameters!$G$3))))))^2</f>
        <v>4.6409469387755102</v>
      </c>
      <c r="G69" s="52">
        <f>(1+((('Valve Spec'!$D$4+1)*Parameters!$C$3)/('Valve Spec'!$E$4+(1/((1/Parameters!$B$3)+(1/Parameters!$G$3))))))^2</f>
        <v>4.6409469387755102</v>
      </c>
      <c r="H69" s="52">
        <f>(1+((('Valve Spec'!$D$4+1)*Parameters!$C$3)/('Valve Spec'!$E$4+(1/((1/Parameters!$B$3)+(1/Parameters!$G$3))))))^2</f>
        <v>4.6409469387755102</v>
      </c>
      <c r="I69" s="52">
        <f>(1+((('Valve Spec'!$D$4+1)*Parameters!$C$3)/('Valve Spec'!$E$4+(1/((1/Parameters!$B$3)+(1/Parameters!$G$3))))))^2</f>
        <v>4.6409469387755102</v>
      </c>
      <c r="J69" s="52">
        <f>(1+((('Valve Spec'!$D$4+1)*Parameters!$C$3)/('Valve Spec'!$E$4+(1/((1/Parameters!$B$3)+(1/Parameters!$G$3))))))^2</f>
        <v>4.6409469387755102</v>
      </c>
      <c r="K69" s="52">
        <f>(1+((('Valve Spec'!$D$4+1)*Parameters!$C$3)/('Valve Spec'!$E$4+(1/((1/Parameters!$B$3)+(1/Parameters!$G$3))))))^2</f>
        <v>4.6409469387755102</v>
      </c>
      <c r="L69" s="52">
        <f>(1+((('Valve Spec'!$D$4+1)*Parameters!$C$3)/('Valve Spec'!$E$4+(1/((1/Parameters!$B$3)+(1/Parameters!$G$3))))))^2</f>
        <v>4.6409469387755102</v>
      </c>
      <c r="M69" s="52">
        <f>(1+((('Valve Spec'!$D$4+1)*Parameters!$C$3)/('Valve Spec'!$E$4+(1/((1/Parameters!$B$3)+(1/Parameters!$G$3))))))^2</f>
        <v>4.6409469387755102</v>
      </c>
      <c r="N69" s="52">
        <f>(1+((('Valve Spec'!$D$4+1)*Parameters!$C$3)/('Valve Spec'!$E$4+(1/((1/Parameters!$B$3)+(1/Parameters!$G$3))))))^2</f>
        <v>4.6409469387755102</v>
      </c>
      <c r="O69" s="52">
        <f>(1+((('Valve Spec'!$D$4+1)*Parameters!$C$3)/('Valve Spec'!$E$4+(1/((1/Parameters!$B$3)+(1/Parameters!$G$3))))))^2</f>
        <v>4.6409469387755102</v>
      </c>
      <c r="P69" s="52">
        <f>(1+((('Valve Spec'!$D$4+1)*Parameters!$C$3)/('Valve Spec'!$E$4+(1/((1/Parameters!$B$3)+(1/Parameters!$G$3))))))^2</f>
        <v>4.6409469387755102</v>
      </c>
      <c r="Q69" s="52">
        <f>(1+((('Valve Spec'!$D$4+1)*Parameters!$C$3)/('Valve Spec'!$E$4+(1/((1/Parameters!$B$3)+(1/Parameters!$G$3))))))^2</f>
        <v>4.6409469387755102</v>
      </c>
      <c r="R69" s="52">
        <f>(1+((('Valve Spec'!$D$4+1)*Parameters!$C$3)/('Valve Spec'!$E$4+(1/((1/Parameters!$B$3)+(1/Parameters!$G$3))))))^2</f>
        <v>4.6409469387755102</v>
      </c>
      <c r="S69" s="52">
        <f>(1+((('Valve Spec'!$D$4+1)*Parameters!$C$3)/('Valve Spec'!$E$4+(1/((1/Parameters!$B$3)+(1/Parameters!$G$3))))))^2</f>
        <v>4.6409469387755102</v>
      </c>
      <c r="T69" s="52">
        <f>(1+((('Valve Spec'!$D$4+1)*Parameters!$C$3)/('Valve Spec'!$E$4+(1/((1/Parameters!$B$3)+(1/Parameters!$G$3))))))^2</f>
        <v>4.6409469387755102</v>
      </c>
      <c r="U69" s="52">
        <f>(1+((('Valve Spec'!$D$4+1)*Parameters!$C$3)/('Valve Spec'!$E$4+(1/((1/Parameters!$B$3)+(1/Parameters!$G$3))))))^2</f>
        <v>4.6409469387755102</v>
      </c>
      <c r="V69" s="52">
        <f>(1+((('Valve Spec'!$D$4+1)*Parameters!$C$3)/('Valve Spec'!$E$4+(1/((1/Parameters!$B$3)+(1/Parameters!$G$3))))))^2</f>
        <v>4.6409469387755102</v>
      </c>
      <c r="W69" s="52">
        <f>(1+((('Valve Spec'!$D$4+1)*Parameters!$C$3)/('Valve Spec'!$E$4+(1/((1/Parameters!$B$3)+(1/Parameters!$G$3))))))^2</f>
        <v>4.6409469387755102</v>
      </c>
      <c r="X69" s="52">
        <f>(1+((('Valve Spec'!$D$4+1)*Parameters!$C$3)/('Valve Spec'!$E$4+(1/((1/Parameters!$B$3)+(1/Parameters!$G$3))))))^2</f>
        <v>4.6409469387755102</v>
      </c>
      <c r="Y69" s="52">
        <f>(1+((('Valve Spec'!$D$4+1)*Parameters!$C$3)/('Valve Spec'!$E$4+(1/((1/Parameters!$B$3)+(1/Parameters!$G$3))))))^2</f>
        <v>4.6409469387755102</v>
      </c>
      <c r="Z69" s="52">
        <f>(1+((('Valve Spec'!$D$4+1)*Parameters!$C$3)/('Valve Spec'!$E$4+(1/((1/Parameters!$B$3)+(1/Parameters!$G$3))))))^2</f>
        <v>4.6409469387755102</v>
      </c>
      <c r="AA69" s="52">
        <f>(1+((('Valve Spec'!$D$4+1)*Parameters!$C$3)/('Valve Spec'!$E$4+(1/((1/Parameters!$B$3)+(1/Parameters!$G$3))))))^2</f>
        <v>4.6409469387755102</v>
      </c>
      <c r="AB69" s="52">
        <f>(1+((('Valve Spec'!$D$4+1)*Parameters!$C$3)/('Valve Spec'!$E$4+(1/((1/Parameters!$B$3)+(1/Parameters!$G$3))))))^2</f>
        <v>4.6409469387755102</v>
      </c>
      <c r="AC69" s="52">
        <f>(1+((('Valve Spec'!$D$4+1)*Parameters!$C$3)/('Valve Spec'!$E$4+(1/((1/Parameters!$B$3)+(1/Parameters!$G$3))))))^2</f>
        <v>4.6409469387755102</v>
      </c>
      <c r="AD69" s="52">
        <f>(1+((('Valve Spec'!$D$4+1)*Parameters!$C$3)/('Valve Spec'!$E$4+(1/((1/Parameters!$B$3)+(1/Parameters!$G$3))))))^2</f>
        <v>4.6409469387755102</v>
      </c>
      <c r="AE69" s="52">
        <f>(1+((('Valve Spec'!$D$4+1)*Parameters!$C$3)/('Valve Spec'!$E$4+(1/((1/Parameters!$B$3)+(1/Parameters!$G$3))))))^2</f>
        <v>4.6409469387755102</v>
      </c>
      <c r="AF69" s="52">
        <f>(1+((('Valve Spec'!$D$4+1)*Parameters!$C$3)/('Valve Spec'!$E$4+(1/((1/Parameters!$B$3)+(1/Parameters!$G$3))))))^2</f>
        <v>4.6409469387755102</v>
      </c>
      <c r="AG69" s="52">
        <f>(1+((('Valve Spec'!$D$4+1)*Parameters!$C$3)/('Valve Spec'!$E$4+(1/((1/Parameters!$B$3)+(1/Parameters!$G$3))))))^2</f>
        <v>4.6409469387755102</v>
      </c>
      <c r="AH69" s="52">
        <f>(1+((('Valve Spec'!$D$4+1)*Parameters!$C$3)/('Valve Spec'!$E$4+(1/((1/Parameters!$B$3)+(1/Parameters!$G$3))))))^2</f>
        <v>4.6409469387755102</v>
      </c>
      <c r="AI69" s="52">
        <f>(1+((('Valve Spec'!$D$4+1)*Parameters!$C$3)/('Valve Spec'!$E$4+(1/((1/Parameters!$B$3)+(1/Parameters!$G$3))))))^2</f>
        <v>4.6409469387755102</v>
      </c>
      <c r="AJ69" s="52">
        <f>(1+((('Valve Spec'!$D$4+1)*Parameters!$C$3)/('Valve Spec'!$E$4+(1/((1/Parameters!$B$3)+(1/Parameters!$G$3))))))^2</f>
        <v>4.6409469387755102</v>
      </c>
      <c r="AK69" s="52">
        <f>(1+((('Valve Spec'!$D$4+1)*Parameters!$C$3)/('Valve Spec'!$E$4+(1/((1/Parameters!$B$3)+(1/Parameters!$G$3))))))^2</f>
        <v>4.6409469387755102</v>
      </c>
      <c r="AL69" s="52">
        <f>(1+((('Valve Spec'!$D$4+1)*Parameters!$C$3)/('Valve Spec'!$E$4+(1/((1/Parameters!$B$3)+(1/Parameters!$G$3))))))^2</f>
        <v>4.6409469387755102</v>
      </c>
      <c r="AM69" s="52">
        <f>(1+((('Valve Spec'!$D$4+1)*Parameters!$C$3)/('Valve Spec'!$E$4+(1/((1/Parameters!$B$3)+(1/Parameters!$G$3))))))^2</f>
        <v>4.6409469387755102</v>
      </c>
      <c r="AN69" s="52">
        <f>(1+((('Valve Spec'!$D$4+1)*Parameters!$C$3)/('Valve Spec'!$E$4+(1/((1/Parameters!$B$3)+(1/Parameters!$G$3))))))^2</f>
        <v>4.6409469387755102</v>
      </c>
      <c r="AO69" s="52">
        <f>(1+((('Valve Spec'!$D$4+1)*Parameters!$C$3)/('Valve Spec'!$E$4+(1/((1/Parameters!$B$3)+(1/Parameters!$G$3))))))^2</f>
        <v>4.6409469387755102</v>
      </c>
      <c r="AP69" s="52">
        <f>(1+((('Valve Spec'!$D$4+1)*Parameters!$C$3)/('Valve Spec'!$E$4+(1/((1/Parameters!$B$3)+(1/Parameters!$G$3))))))^2</f>
        <v>4.6409469387755102</v>
      </c>
      <c r="AQ69" s="52">
        <f>(1+((('Valve Spec'!$D$4+1)*Parameters!$C$3)/('Valve Spec'!$E$4+(1/((1/Parameters!$B$3)+(1/Parameters!$G$3))))))^2</f>
        <v>4.6409469387755102</v>
      </c>
      <c r="AR69" s="52">
        <f>(1+((('Valve Spec'!$D$4+1)*Parameters!$C$3)/('Valve Spec'!$E$4+(1/((1/Parameters!$B$3)+(1/Parameters!$G$3))))))^2</f>
        <v>4.6409469387755102</v>
      </c>
      <c r="AS69" s="52">
        <f>(1+((('Valve Spec'!$D$4+1)*Parameters!$C$3)/('Valve Spec'!$E$4+(1/((1/Parameters!$B$3)+(1/Parameters!$G$3))))))^2</f>
        <v>4.6409469387755102</v>
      </c>
    </row>
    <row r="70" spans="1:45" ht="18" customHeight="1" thickTop="1" thickBot="1">
      <c r="A70" s="46"/>
      <c r="B70" s="51" t="s">
        <v>33</v>
      </c>
      <c r="C70" s="52">
        <f>(2*PI()*C67*(Parameters!$D$3/1000000)*Parameters!$C$3)^2</f>
        <v>4.2991996771145251</v>
      </c>
      <c r="D70" s="52">
        <f>(2*PI()*D67*(Parameters!$D$3/1000000)*Parameters!$C$3)^2</f>
        <v>5.9862056304142612</v>
      </c>
      <c r="E70" s="52">
        <f>(2*PI()*E67*(Parameters!$D$3/1000000)*Parameters!$C$3)^2</f>
        <v>8.335192719788818</v>
      </c>
      <c r="F70" s="52">
        <f>(2*PI()*F67*(Parameters!$D$3/1000000)*Parameters!$C$3)^2</f>
        <v>11.605922343033949</v>
      </c>
      <c r="G70" s="52">
        <f>(2*PI()*G67*(Parameters!$D$3/1000000)*Parameters!$C$3)^2</f>
        <v>16.160086270440466</v>
      </c>
      <c r="H70" s="52">
        <f>(2*PI()*H67*(Parameters!$D$3/1000000)*Parameters!$C$3)^2</f>
        <v>22.501304122961301</v>
      </c>
      <c r="I70" s="52">
        <f>(2*PI()*I67*(Parameters!$D$3/1000000)*Parameters!$C$3)^2</f>
        <v>31.330815860811306</v>
      </c>
      <c r="J70" s="52">
        <f>(2*PI()*J67*(Parameters!$D$3/1000000)*Parameters!$C$3)^2</f>
        <v>43.625028004593673</v>
      </c>
      <c r="K70" s="52">
        <f>(2*PI()*K67*(Parameters!$D$3/1000000)*Parameters!$C$3)^2</f>
        <v>60.743488993596216</v>
      </c>
      <c r="L70" s="52">
        <f>(2*PI()*L67*(Parameters!$D$3/1000000)*Parameters!$C$3)^2</f>
        <v>84.57923407468337</v>
      </c>
      <c r="M70" s="52">
        <f>(2*PI()*M67*(Parameters!$D$3/1000000)*Parameters!$C$3)^2</f>
        <v>117.76812552558904</v>
      </c>
      <c r="N70" s="52">
        <f>(2*PI()*N67*(Parameters!$D$3/1000000)*Parameters!$C$3)^2</f>
        <v>163.98033798183019</v>
      </c>
      <c r="O70" s="52">
        <f>(2*PI()*O67*(Parameters!$D$3/1000000)*Parameters!$C$3)^2</f>
        <v>228.32622260590031</v>
      </c>
      <c r="P70" s="52">
        <f>(2*PI()*P67*(Parameters!$D$3/1000000)*Parameters!$C$3)^2</f>
        <v>317.92143235645563</v>
      </c>
      <c r="Q70" s="52">
        <f>(2*PI()*Q67*(Parameters!$D$3/1000000)*Parameters!$C$3)^2</f>
        <v>442.67380241312867</v>
      </c>
      <c r="R70" s="52">
        <f>(2*PI()*R67*(Parameters!$D$3/1000000)*Parameters!$C$3)^2</f>
        <v>616.37900248004019</v>
      </c>
      <c r="S70" s="52">
        <f>(2*PI()*S67*(Parameters!$D$3/1000000)*Parameters!$C$3)^2</f>
        <v>858.24612305320841</v>
      </c>
      <c r="T70" s="52">
        <f>(2*PI()*T67*(Parameters!$D$3/1000000)*Parameters!$C$3)^2</f>
        <v>1195.0219017392872</v>
      </c>
      <c r="U70" s="52">
        <f>(2*PI()*U67*(Parameters!$D$3/1000000)*Parameters!$C$3)^2</f>
        <v>1663.948495981783</v>
      </c>
      <c r="V70" s="52">
        <f>(2*PI()*V67*(Parameters!$D$3/1000000)*Parameters!$C$3)^2</f>
        <v>2316.8818858050349</v>
      </c>
      <c r="W70" s="52">
        <f>(2*PI()*W67*(Parameters!$D$3/1000000)*Parameters!$C$3)^2</f>
        <v>3226.0263377949309</v>
      </c>
      <c r="X70" s="52">
        <f>(2*PI()*X67*(Parameters!$D$3/1000000)*Parameters!$C$3)^2</f>
        <v>4491.9190727456598</v>
      </c>
      <c r="Y70" s="52">
        <f>(2*PI()*Y67*(Parameters!$D$3/1000000)*Parameters!$C$3)^2</f>
        <v>6254.5481168910574</v>
      </c>
      <c r="Z70" s="52">
        <f>(2*PI()*Z67*(Parameters!$D$3/1000000)*Parameters!$C$3)^2</f>
        <v>8708.8327979591068</v>
      </c>
      <c r="AA70" s="52">
        <f>(2*PI()*AA67*(Parameters!$D$3/1000000)*Parameters!$C$3)^2</f>
        <v>12126.17878787826</v>
      </c>
      <c r="AB70" s="52">
        <f>(2*PI()*AB67*(Parameters!$D$3/1000000)*Parameters!$C$3)^2</f>
        <v>16884.491344241695</v>
      </c>
      <c r="AC70" s="52">
        <f>(2*PI()*AC67*(Parameters!$D$3/1000000)*Parameters!$C$3)^2</f>
        <v>23509.965747722134</v>
      </c>
      <c r="AD70" s="52">
        <f>(2*PI()*AD67*(Parameters!$D$3/1000000)*Parameters!$C$3)^2</f>
        <v>32735.27630712829</v>
      </c>
      <c r="AE70" s="52">
        <f>(2*PI()*AE67*(Parameters!$D$3/1000000)*Parameters!$C$3)^2</f>
        <v>45580.598730045422</v>
      </c>
      <c r="AF70" s="52">
        <f>(2*PI()*AF67*(Parameters!$D$3/1000000)*Parameters!$C$3)^2</f>
        <v>63466.425671715253</v>
      </c>
      <c r="AG70" s="52">
        <f>(2*PI()*AG67*(Parameters!$D$3/1000000)*Parameters!$C$3)^2</f>
        <v>88370.651105296289</v>
      </c>
      <c r="AH70" s="52">
        <f>(2*PI()*AH67*(Parameters!$D$3/1000000)*Parameters!$C$3)^2</f>
        <v>123047.29459901452</v>
      </c>
      <c r="AI70" s="52">
        <f>(2*PI()*AI67*(Parameters!$D$3/1000000)*Parameters!$C$3)^2</f>
        <v>171331.05299966782</v>
      </c>
      <c r="AJ70" s="52">
        <f>(2*PI()*AJ67*(Parameters!$D$3/1000000)*Parameters!$C$3)^2</f>
        <v>238561.35819673745</v>
      </c>
      <c r="AK70" s="52">
        <f>(2*PI()*AK67*(Parameters!$D$3/1000000)*Parameters!$C$3)^2</f>
        <v>332172.83515313722</v>
      </c>
      <c r="AL70" s="52">
        <f>(2*PI()*AL67*(Parameters!$D$3/1000000)*Parameters!$C$3)^2</f>
        <v>462517.45566722821</v>
      </c>
      <c r="AM70" s="52">
        <f>(2*PI()*AM67*(Parameters!$D$3/1000000)*Parameters!$C$3)^2</f>
        <v>644009.30527104856</v>
      </c>
      <c r="AN70" s="52">
        <f>(2*PI()*AN67*(Parameters!$D$3/1000000)*Parameters!$C$3)^2</f>
        <v>896718.55665940756</v>
      </c>
      <c r="AO70" s="52">
        <f>(2*PI()*AO67*(Parameters!$D$3/1000000)*Parameters!$C$3)^2</f>
        <v>1248590.918292559</v>
      </c>
      <c r="AP70" s="52">
        <f>(2*PI()*AP67*(Parameters!$D$3/1000000)*Parameters!$C$3)^2</f>
        <v>1738537.9946305586</v>
      </c>
      <c r="AQ70" s="52">
        <f>(2*PI()*AQ67*(Parameters!$D$3/1000000)*Parameters!$C$3)^2</f>
        <v>2420740.3037235891</v>
      </c>
      <c r="AR70" s="52">
        <f>(2*PI()*AR67*(Parameters!$D$3/1000000)*Parameters!$C$3)^2</f>
        <v>3370638.7989047267</v>
      </c>
      <c r="AS70" s="52">
        <f>(2*PI()*AS67*(Parameters!$D$3/1000000)*Parameters!$C$3)^2</f>
        <v>4299199.677114523</v>
      </c>
    </row>
    <row r="71" spans="1:45" ht="17.25" customHeight="1" thickTop="1" thickBot="1">
      <c r="A71" s="46"/>
      <c r="B71" s="51" t="s">
        <v>44</v>
      </c>
      <c r="C71" s="52">
        <f>Parameters!$G$3/((((Parameters!$G$3+((Parameters!$K$15+Parameters!$G$15)/2))^2)+((1/(2*PI()*C67*(Parameters!$H$3/1000000000)))^2))^0.5)</f>
        <v>0.28448142582130598</v>
      </c>
      <c r="D71" s="52">
        <f>Parameters!$G$3/((((Parameters!$G$3+((Parameters!$K$15+Parameters!$G$15)/2))^2)+((1/(2*PI()*D67*(Parameters!$H$3/1000000000)))^2))^0.5)</f>
        <v>0.32775241528313359</v>
      </c>
      <c r="E71" s="52">
        <f>Parameters!$G$3/((((Parameters!$G$3+((Parameters!$K$15+Parameters!$G$15)/2))^2)+((1/(2*PI()*E67*(Parameters!$H$3/1000000000)))^2))^0.5)</f>
        <v>0.3747502961025983</v>
      </c>
      <c r="F71" s="52">
        <f>Parameters!$G$3/((((Parameters!$G$3+((Parameters!$K$15+Parameters!$G$15)/2))^2)+((1/(2*PI()*F67*(Parameters!$H$3/1000000000)))^2))^0.5)</f>
        <v>0.42452111377585505</v>
      </c>
      <c r="G71" s="52">
        <f>Parameters!$G$3/((((Parameters!$G$3+((Parameters!$K$15+Parameters!$G$15)/2))^2)+((1/(2*PI()*G67*(Parameters!$H$3/1000000000)))^2))^0.5)</f>
        <v>0.47565065277887175</v>
      </c>
      <c r="H71" s="52">
        <f>Parameters!$G$3/((((Parameters!$G$3+((Parameters!$K$15+Parameters!$G$15)/2))^2)+((1/(2*PI()*H67*(Parameters!$H$3/1000000000)))^2))^0.5)</f>
        <v>0.52636545212239272</v>
      </c>
      <c r="I71" s="52">
        <f>Parameters!$G$3/((((Parameters!$G$3+((Parameters!$K$15+Parameters!$G$15)/2))^2)+((1/(2*PI()*I67*(Parameters!$H$3/1000000000)))^2))^0.5)</f>
        <v>0.57476115036054265</v>
      </c>
      <c r="J71" s="52">
        <f>Parameters!$G$3/((((Parameters!$G$3+((Parameters!$K$15+Parameters!$G$15)/2))^2)+((1/(2*PI()*J67*(Parameters!$H$3/1000000000)))^2))^0.5)</f>
        <v>0.61911012200575521</v>
      </c>
      <c r="K71" s="52">
        <f>Parameters!$G$3/((((Parameters!$G$3+((Parameters!$K$15+Parameters!$G$15)/2))^2)+((1/(2*PI()*K67*(Parameters!$H$3/1000000000)))^2))^0.5)</f>
        <v>0.65814647094733458</v>
      </c>
      <c r="L71" s="52">
        <f>Parameters!$G$3/((((Parameters!$G$3+((Parameters!$K$15+Parameters!$G$15)/2))^2)+((1/(2*PI()*L67*(Parameters!$H$3/1000000000)))^2))^0.5)</f>
        <v>0.69122571201588945</v>
      </c>
      <c r="M71" s="52">
        <f>Parameters!$G$3/((((Parameters!$G$3+((Parameters!$K$15+Parameters!$G$15)/2))^2)+((1/(2*PI()*M67*(Parameters!$H$3/1000000000)))^2))^0.5)</f>
        <v>0.71831716906075804</v>
      </c>
      <c r="N71" s="52">
        <f>Parameters!$G$3/((((Parameters!$G$3+((Parameters!$K$15+Parameters!$G$15)/2))^2)+((1/(2*PI()*N67*(Parameters!$H$3/1000000000)))^2))^0.5)</f>
        <v>0.73986481821203864</v>
      </c>
      <c r="O71" s="52">
        <f>Parameters!$G$3/((((Parameters!$G$3+((Parameters!$K$15+Parameters!$G$15)/2))^2)+((1/(2*PI()*O67*(Parameters!$H$3/1000000000)))^2))^0.5)</f>
        <v>0.75659405703449656</v>
      </c>
      <c r="P71" s="52">
        <f>Parameters!$G$3/((((Parameters!$G$3+((Parameters!$K$15+Parameters!$G$15)/2))^2)+((1/(2*PI()*P67*(Parameters!$H$3/1000000000)))^2))^0.5)</f>
        <v>0.76933401534262158</v>
      </c>
      <c r="Q71" s="52">
        <f>Parameters!$G$3/((((Parameters!$G$3+((Parameters!$K$15+Parameters!$G$15)/2))^2)+((1/(2*PI()*Q67*(Parameters!$H$3/1000000000)))^2))^0.5)</f>
        <v>0.77889123776055691</v>
      </c>
      <c r="R71" s="52">
        <f>Parameters!$G$3/((((Parameters!$G$3+((Parameters!$K$15+Parameters!$G$15)/2))^2)+((1/(2*PI()*R67*(Parameters!$H$3/1000000000)))^2))^0.5)</f>
        <v>0.78597910537921734</v>
      </c>
      <c r="S71" s="52">
        <f>Parameters!$G$3/((((Parameters!$G$3+((Parameters!$K$15+Parameters!$G$15)/2))^2)+((1/(2*PI()*S67*(Parameters!$H$3/1000000000)))^2))^0.5)</f>
        <v>0.79119057362736811</v>
      </c>
      <c r="T71" s="52">
        <f>Parameters!$G$3/((((Parameters!$G$3+((Parameters!$K$15+Parameters!$G$15)/2))^2)+((1/(2*PI()*T67*(Parameters!$H$3/1000000000)))^2))^0.5)</f>
        <v>0.79499798446212622</v>
      </c>
      <c r="U71" s="52">
        <f>Parameters!$G$3/((((Parameters!$G$3+((Parameters!$K$15+Parameters!$G$15)/2))^2)+((1/(2*PI()*U67*(Parameters!$H$3/1000000000)))^2))^0.5)</f>
        <v>0.79776657300907194</v>
      </c>
      <c r="V71" s="52">
        <f>Parameters!$G$3/((((Parameters!$G$3+((Parameters!$K$15+Parameters!$G$15)/2))^2)+((1/(2*PI()*V67*(Parameters!$H$3/1000000000)))^2))^0.5)</f>
        <v>0.79977287211251114</v>
      </c>
      <c r="W71" s="52">
        <f>Parameters!$G$3/((((Parameters!$G$3+((Parameters!$K$15+Parameters!$G$15)/2))^2)+((1/(2*PI()*W67*(Parameters!$H$3/1000000000)))^2))^0.5)</f>
        <v>0.80122314023698205</v>
      </c>
      <c r="X71" s="52">
        <f>Parameters!$G$3/((((Parameters!$G$3+((Parameters!$K$15+Parameters!$G$15)/2))^2)+((1/(2*PI()*X67*(Parameters!$H$3/1000000000)))^2))^0.5)</f>
        <v>0.80226958150474714</v>
      </c>
      <c r="Y71" s="52">
        <f>Parameters!$G$3/((((Parameters!$G$3+((Parameters!$K$15+Parameters!$G$15)/2))^2)+((1/(2*PI()*Y67*(Parameters!$H$3/1000000000)))^2))^0.5)</f>
        <v>0.80302365412104848</v>
      </c>
      <c r="Z71" s="52">
        <f>Parameters!$G$3/((((Parameters!$G$3+((Parameters!$K$15+Parameters!$G$15)/2))^2)+((1/(2*PI()*Z67*(Parameters!$H$3/1000000000)))^2))^0.5)</f>
        <v>0.80356653112974963</v>
      </c>
      <c r="AA71" s="52">
        <f>Parameters!$G$3/((((Parameters!$G$3+((Parameters!$K$15+Parameters!$G$15)/2))^2)+((1/(2*PI()*AA67*(Parameters!$H$3/1000000000)))^2))^0.5)</f>
        <v>0.80395709696380102</v>
      </c>
      <c r="AB71" s="52">
        <f>Parameters!$G$3/((((Parameters!$G$3+((Parameters!$K$15+Parameters!$G$15)/2))^2)+((1/(2*PI()*AB67*(Parameters!$H$3/1000000000)))^2))^0.5)</f>
        <v>0.80423794689535266</v>
      </c>
      <c r="AC71" s="52">
        <f>Parameters!$G$3/((((Parameters!$G$3+((Parameters!$K$15+Parameters!$G$15)/2))^2)+((1/(2*PI()*AC67*(Parameters!$H$3/1000000000)))^2))^0.5)</f>
        <v>0.80443983063915137</v>
      </c>
      <c r="AD71" s="52">
        <f>Parameters!$G$3/((((Parameters!$G$3+((Parameters!$K$15+Parameters!$G$15)/2))^2)+((1/(2*PI()*AD67*(Parameters!$H$3/1000000000)))^2))^0.5)</f>
        <v>0.80458491423927947</v>
      </c>
      <c r="AE71" s="52">
        <f>Parameters!$G$3/((((Parameters!$G$3+((Parameters!$K$15+Parameters!$G$15)/2))^2)+((1/(2*PI()*AE67*(Parameters!$H$3/1000000000)))^2))^0.5)</f>
        <v>0.80468915946813524</v>
      </c>
      <c r="AF71" s="52">
        <f>Parameters!$G$3/((((Parameters!$G$3+((Parameters!$K$15+Parameters!$G$15)/2))^2)+((1/(2*PI()*AF67*(Parameters!$H$3/1000000000)))^2))^0.5)</f>
        <v>0.80476405177319066</v>
      </c>
      <c r="AG71" s="52">
        <f>Parameters!$G$3/((((Parameters!$G$3+((Parameters!$K$15+Parameters!$G$15)/2))^2)+((1/(2*PI()*AG67*(Parameters!$H$3/1000000000)))^2))^0.5)</f>
        <v>0.80481785116401872</v>
      </c>
      <c r="AH71" s="52">
        <f>Parameters!$G$3/((((Parameters!$G$3+((Parameters!$K$15+Parameters!$G$15)/2))^2)+((1/(2*PI()*AH67*(Parameters!$H$3/1000000000)))^2))^0.5)</f>
        <v>0.80485649570659434</v>
      </c>
      <c r="AI71" s="52">
        <f>Parameters!$G$3/((((Parameters!$G$3+((Parameters!$K$15+Parameters!$G$15)/2))^2)+((1/(2*PI()*AI67*(Parameters!$H$3/1000000000)))^2))^0.5)</f>
        <v>0.80488425305021638</v>
      </c>
      <c r="AJ71" s="52">
        <f>Parameters!$G$3/((((Parameters!$G$3+((Parameters!$K$15+Parameters!$G$15)/2))^2)+((1/(2*PI()*AJ67*(Parameters!$H$3/1000000000)))^2))^0.5)</f>
        <v>0.80490418971419109</v>
      </c>
      <c r="AK71" s="52">
        <f>Parameters!$G$3/((((Parameters!$G$3+((Parameters!$K$15+Parameters!$G$15)/2))^2)+((1/(2*PI()*AK67*(Parameters!$H$3/1000000000)))^2))^0.5)</f>
        <v>0.80491850882992089</v>
      </c>
      <c r="AL71" s="52">
        <f>Parameters!$G$3/((((Parameters!$G$3+((Parameters!$K$15+Parameters!$G$15)/2))^2)+((1/(2*PI()*AL67*(Parameters!$H$3/1000000000)))^2))^0.5)</f>
        <v>0.80492879306740284</v>
      </c>
      <c r="AM71" s="52">
        <f>Parameters!$G$3/((((Parameters!$G$3+((Parameters!$K$15+Parameters!$G$15)/2))^2)+((1/(2*PI()*AM67*(Parameters!$H$3/1000000000)))^2))^0.5)</f>
        <v>0.80493617928985328</v>
      </c>
      <c r="AN71" s="52">
        <f>Parameters!$G$3/((((Parameters!$G$3+((Parameters!$K$15+Parameters!$G$15)/2))^2)+((1/(2*PI()*AN67*(Parameters!$H$3/1000000000)))^2))^0.5)</f>
        <v>0.80494148408526767</v>
      </c>
      <c r="AO71" s="52">
        <f>Parameters!$G$3/((((Parameters!$G$3+((Parameters!$K$15+Parameters!$G$15)/2))^2)+((1/(2*PI()*AO67*(Parameters!$H$3/1000000000)))^2))^0.5)</f>
        <v>0.80494529397144832</v>
      </c>
      <c r="AP71" s="52">
        <f>Parameters!$G$3/((((Parameters!$G$3+((Parameters!$K$15+Parameters!$G$15)/2))^2)+((1/(2*PI()*AP67*(Parameters!$H$3/1000000000)))^2))^0.5)</f>
        <v>0.80494803020576045</v>
      </c>
      <c r="AQ71" s="52">
        <f>Parameters!$G$3/((((Parameters!$G$3+((Parameters!$K$15+Parameters!$G$15)/2))^2)+((1/(2*PI()*AQ67*(Parameters!$H$3/1000000000)))^2))^0.5)</f>
        <v>0.8049499953438557</v>
      </c>
      <c r="AR71" s="52">
        <f>Parameters!$G$3/((((Parameters!$G$3+((Parameters!$K$15+Parameters!$G$15)/2))^2)+((1/(2*PI()*AR67*(Parameters!$H$3/1000000000)))^2))^0.5)</f>
        <v>0.8049514066843183</v>
      </c>
      <c r="AS71" s="52">
        <f>Parameters!$G$3/((((Parameters!$G$3+((Parameters!$K$15+Parameters!$G$15)/2))^2)+((1/(2*PI()*AS67*(Parameters!$H$3/1000000000)))^2))^0.5)</f>
        <v>0.80495218351671793</v>
      </c>
    </row>
    <row r="72" spans="1:45" ht="16.5" customHeight="1" thickTop="1" thickBot="1">
      <c r="A72" s="46"/>
      <c r="B72" s="51" t="s">
        <v>46</v>
      </c>
      <c r="C72" s="52">
        <f>(((1/(2*PI()*C67*(Parameters!$H$15/1000000000000)))^2)/((Parameters!$E$3^2)+((1/(2*PI()*C67*(Parameters!$H$15/1000000000000)))^2)))^0.5</f>
        <v>0.99994348139757538</v>
      </c>
      <c r="D72" s="52">
        <f>(((1/(2*PI()*D67*(Parameters!$H$15/1000000000000)))^2)/((Parameters!$E$3^2)+((1/(2*PI()*D67*(Parameters!$H$15/1000000000000)))^2)))^0.5</f>
        <v>0.99992130611582253</v>
      </c>
      <c r="E72" s="52">
        <f>(((1/(2*PI()*E67*(Parameters!$H$15/1000000000000)))^2)/((Parameters!$E$3^2)+((1/(2*PI()*E67*(Parameters!$H$15/1000000000000)))^2)))^0.5</f>
        <v>0.99989043171062975</v>
      </c>
      <c r="F72" s="52">
        <f>(((1/(2*PI()*F67*(Parameters!$H$15/1000000000000)))^2)/((Parameters!$E$3^2)+((1/(2*PI()*F67*(Parameters!$H$15/1000000000000)))^2)))^0.5</f>
        <v>0.9998474469518861</v>
      </c>
      <c r="G72" s="52">
        <f>(((1/(2*PI()*G67*(Parameters!$H$15/1000000000000)))^2)/((Parameters!$E$3^2)+((1/(2*PI()*G67*(Parameters!$H$15/1000000000000)))^2)))^0.5</f>
        <v>0.99978760420624313</v>
      </c>
      <c r="H72" s="52">
        <f>(((1/(2*PI()*H67*(Parameters!$H$15/1000000000000)))^2)/((Parameters!$E$3^2)+((1/(2*PI()*H67*(Parameters!$H$15/1000000000000)))^2)))^0.5</f>
        <v>0.99970429706128949</v>
      </c>
      <c r="I72" s="52">
        <f>(((1/(2*PI()*I67*(Parameters!$H$15/1000000000000)))^2)/((Parameters!$E$3^2)+((1/(2*PI()*I67*(Parameters!$H$15/1000000000000)))^2)))^0.5</f>
        <v>0.99958833487031673</v>
      </c>
      <c r="J72" s="52">
        <f>(((1/(2*PI()*J67*(Parameters!$H$15/1000000000000)))^2)/((Parameters!$E$3^2)+((1/(2*PI()*J67*(Parameters!$H$15/1000000000000)))^2)))^0.5</f>
        <v>0.99942693630746504</v>
      </c>
      <c r="K72" s="52">
        <f>(((1/(2*PI()*K67*(Parameters!$H$15/1000000000000)))^2)/((Parameters!$E$3^2)+((1/(2*PI()*K67*(Parameters!$H$15/1000000000000)))^2)))^0.5</f>
        <v>0.99920233510963263</v>
      </c>
      <c r="L72" s="52">
        <f>(((1/(2*PI()*L67*(Parameters!$H$15/1000000000000)))^2)/((Parameters!$E$3^2)+((1/(2*PI()*L67*(Parameters!$H$15/1000000000000)))^2)))^0.5</f>
        <v>0.99888985246135209</v>
      </c>
      <c r="M72" s="52">
        <f>(((1/(2*PI()*M67*(Parameters!$H$15/1000000000000)))^2)/((Parameters!$E$3^2)+((1/(2*PI()*M67*(Parameters!$H$15/1000000000000)))^2)))^0.5</f>
        <v>0.99845523951775894</v>
      </c>
      <c r="N72" s="52">
        <f>(((1/(2*PI()*N67*(Parameters!$H$15/1000000000000)))^2)/((Parameters!$E$3^2)+((1/(2*PI()*N67*(Parameters!$H$15/1000000000000)))^2)))^0.5</f>
        <v>0.99785102824559135</v>
      </c>
      <c r="O72" s="52">
        <f>(((1/(2*PI()*O67*(Parameters!$H$15/1000000000000)))^2)/((Parameters!$E$3^2)+((1/(2*PI()*O67*(Parameters!$H$15/1000000000000)))^2)))^0.5</f>
        <v>0.99701154853907492</v>
      </c>
      <c r="P72" s="52">
        <f>(((1/(2*PI()*P67*(Parameters!$H$15/1000000000000)))^2)/((Parameters!$E$3^2)+((1/(2*PI()*P67*(Parameters!$H$15/1000000000000)))^2)))^0.5</f>
        <v>0.99584617807065801</v>
      </c>
      <c r="Q72" s="52">
        <f>(((1/(2*PI()*Q67*(Parameters!$H$15/1000000000000)))^2)/((Parameters!$E$3^2)+((1/(2*PI()*Q67*(Parameters!$H$15/1000000000000)))^2)))^0.5</f>
        <v>0.99423030157545689</v>
      </c>
      <c r="R72" s="52">
        <f>(((1/(2*PI()*R67*(Parameters!$H$15/1000000000000)))^2)/((Parameters!$E$3^2)+((1/(2*PI()*R67*(Parameters!$H$15/1000000000000)))^2)))^0.5</f>
        <v>0.99199340023991289</v>
      </c>
      <c r="S72" s="52">
        <f>(((1/(2*PI()*S67*(Parameters!$H$15/1000000000000)))^2)/((Parameters!$E$3^2)+((1/(2*PI()*S67*(Parameters!$H$15/1000000000000)))^2)))^0.5</f>
        <v>0.98890373714772883</v>
      </c>
      <c r="T72" s="52">
        <f>(((1/(2*PI()*T67*(Parameters!$H$15/1000000000000)))^2)/((Parameters!$E$3^2)+((1/(2*PI()*T67*(Parameters!$H$15/1000000000000)))^2)))^0.5</f>
        <v>0.98464938042119088</v>
      </c>
      <c r="U72" s="52">
        <f>(((1/(2*PI()*U67*(Parameters!$H$15/1000000000000)))^2)/((Parameters!$E$3^2)+((1/(2*PI()*U67*(Parameters!$H$15/1000000000000)))^2)))^0.5</f>
        <v>0.97881603631088143</v>
      </c>
      <c r="V72" s="52">
        <f>(((1/(2*PI()*V67*(Parameters!$H$15/1000000000000)))^2)/((Parameters!$E$3^2)+((1/(2*PI()*V67*(Parameters!$H$15/1000000000000)))^2)))^0.5</f>
        <v>0.9708636972204735</v>
      </c>
      <c r="W72" s="52">
        <f>(((1/(2*PI()*W67*(Parameters!$H$15/1000000000000)))^2)/((Parameters!$E$3^2)+((1/(2*PI()*W67*(Parameters!$H$15/1000000000000)))^2)))^0.5</f>
        <v>0.96010688612950201</v>
      </c>
      <c r="X72" s="52">
        <f>(((1/(2*PI()*X67*(Parameters!$H$15/1000000000000)))^2)/((Parameters!$E$3^2)+((1/(2*PI()*X67*(Parameters!$H$15/1000000000000)))^2)))^0.5</f>
        <v>0.94570763686361803</v>
      </c>
      <c r="Y72" s="52">
        <f>(((1/(2*PI()*Y67*(Parameters!$H$15/1000000000000)))^2)/((Parameters!$E$3^2)+((1/(2*PI()*Y67*(Parameters!$H$15/1000000000000)))^2)))^0.5</f>
        <v>0.92669596102023177</v>
      </c>
      <c r="Z72" s="52">
        <f>(((1/(2*PI()*Z67*(Parameters!$H$15/1000000000000)))^2)/((Parameters!$E$3^2)+((1/(2*PI()*Z67*(Parameters!$H$15/1000000000000)))^2)))^0.5</f>
        <v>0.90203734207164832</v>
      </c>
      <c r="AA72" s="52">
        <f>(((1/(2*PI()*AA67*(Parameters!$H$15/1000000000000)))^2)/((Parameters!$E$3^2)+((1/(2*PI()*AA67*(Parameters!$H$15/1000000000000)))^2)))^0.5</f>
        <v>0.87076569658984548</v>
      </c>
      <c r="AB72" s="52">
        <f>(((1/(2*PI()*AB67*(Parameters!$H$15/1000000000000)))^2)/((Parameters!$E$3^2)+((1/(2*PI()*AB67*(Parameters!$H$15/1000000000000)))^2)))^0.5</f>
        <v>0.83218551218836656</v>
      </c>
      <c r="AC72" s="52">
        <f>(((1/(2*PI()*AC67*(Parameters!$H$15/1000000000000)))^2)/((Parameters!$E$3^2)+((1/(2*PI()*AC67*(Parameters!$H$15/1000000000000)))^2)))^0.5</f>
        <v>0.78611326081609934</v>
      </c>
      <c r="AD72" s="52">
        <f>(((1/(2*PI()*AD67*(Parameters!$H$15/1000000000000)))^2)/((Parameters!$E$3^2)+((1/(2*PI()*AD67*(Parameters!$H$15/1000000000000)))^2)))^0.5</f>
        <v>0.7330840448191035</v>
      </c>
      <c r="AE72" s="52">
        <f>(((1/(2*PI()*AE67*(Parameters!$H$15/1000000000000)))^2)/((Parameters!$E$3^2)+((1/(2*PI()*AE67*(Parameters!$H$15/1000000000000)))^2)))^0.5</f>
        <v>0.67442448732308369</v>
      </c>
      <c r="AF72" s="52">
        <f>(((1/(2*PI()*AF67*(Parameters!$H$15/1000000000000)))^2)/((Parameters!$E$3^2)+((1/(2*PI()*AF67*(Parameters!$H$15/1000000000000)))^2)))^0.5</f>
        <v>0.61212306719583209</v>
      </c>
      <c r="AG72" s="52">
        <f>(((1/(2*PI()*AG67*(Parameters!$H$15/1000000000000)))^2)/((Parameters!$E$3^2)+((1/(2*PI()*AG67*(Parameters!$H$15/1000000000000)))^2)))^0.5</f>
        <v>0.54851634990289821</v>
      </c>
      <c r="AH72" s="52">
        <f>(((1/(2*PI()*AH67*(Parameters!$H$15/1000000000000)))^2)/((Parameters!$E$3^2)+((1/(2*PI()*AH67*(Parameters!$H$15/1000000000000)))^2)))^0.5</f>
        <v>0.48590030161663189</v>
      </c>
      <c r="AI72" s="52">
        <f>(((1/(2*PI()*AI67*(Parameters!$H$15/1000000000000)))^2)/((Parameters!$E$3^2)+((1/(2*PI()*AI67*(Parameters!$H$15/1000000000000)))^2)))^0.5</f>
        <v>0.42620296666696411</v>
      </c>
      <c r="AJ72" s="52">
        <f>(((1/(2*PI()*AJ67*(Parameters!$H$15/1000000000000)))^2)/((Parameters!$E$3^2)+((1/(2*PI()*AJ67*(Parameters!$H$15/1000000000000)))^2)))^0.5</f>
        <v>0.37080465665714069</v>
      </c>
      <c r="AK72" s="52">
        <f>(((1/(2*PI()*AK67*(Parameters!$H$15/1000000000000)))^2)/((Parameters!$E$3^2)+((1/(2*PI()*AK67*(Parameters!$H$15/1000000000000)))^2)))^0.5</f>
        <v>0.32051227436508589</v>
      </c>
      <c r="AL72" s="52">
        <f>(((1/(2*PI()*AL67*(Parameters!$H$15/1000000000000)))^2)/((Parameters!$E$3^2)+((1/(2*PI()*AL67*(Parameters!$H$15/1000000000000)))^2)))^0.5</f>
        <v>0.27563981390398062</v>
      </c>
      <c r="AM72" s="52">
        <f>(((1/(2*PI()*AM67*(Parameters!$H$15/1000000000000)))^2)/((Parameters!$E$3^2)+((1/(2*PI()*AM67*(Parameters!$H$15/1000000000000)))^2)))^0.5</f>
        <v>0.23613475166816014</v>
      </c>
      <c r="AN72" s="52">
        <f>(((1/(2*PI()*AN67*(Parameters!$H$15/1000000000000)))^2)/((Parameters!$E$3^2)+((1/(2*PI()*AN67*(Parameters!$H$15/1000000000000)))^2)))^0.5</f>
        <v>0.20170526268071051</v>
      </c>
      <c r="AO72" s="52">
        <f>(((1/(2*PI()*AO67*(Parameters!$H$15/1000000000000)))^2)/((Parameters!$E$3^2)+((1/(2*PI()*AO67*(Parameters!$H$15/1000000000000)))^2)))^0.5</f>
        <v>0.17192512317115941</v>
      </c>
      <c r="AP72" s="52">
        <f>(((1/(2*PI()*AP67*(Parameters!$H$15/1000000000000)))^2)/((Parameters!$E$3^2)+((1/(2*PI()*AP67*(Parameters!$H$15/1000000000000)))^2)))^0.5</f>
        <v>0.14630991017666667</v>
      </c>
      <c r="AQ72" s="52">
        <f>(((1/(2*PI()*AQ67*(Parameters!$H$15/1000000000000)))^2)/((Parameters!$E$3^2)+((1/(2*PI()*AQ67*(Parameters!$H$15/1000000000000)))^2)))^0.5</f>
        <v>0.12436715228751757</v>
      </c>
      <c r="AR72" s="52">
        <f>(((1/(2*PI()*AR67*(Parameters!$H$15/1000000000000)))^2)/((Parameters!$E$3^2)+((1/(2*PI()*AR67*(Parameters!$H$15/1000000000000)))^2)))^0.5</f>
        <v>0.1056263502414585</v>
      </c>
      <c r="AS72" s="52">
        <f>(((1/(2*PI()*AS67*(Parameters!$H$15/1000000000000)))^2)/((Parameters!$E$3^2)+((1/(2*PI()*AS67*(Parameters!$H$15/1000000000000)))^2)))^0.5</f>
        <v>9.3639367087391581E-2</v>
      </c>
    </row>
    <row r="73" spans="1:45" ht="14" thickTop="1" thickBot="1">
      <c r="A73" s="46"/>
      <c r="B73" s="51" t="s">
        <v>35</v>
      </c>
      <c r="C73" s="52">
        <f t="shared" ref="C73:AS73" si="14">(C68/(C69+C70))^0.5</f>
        <v>0.76989734430974344</v>
      </c>
      <c r="D73" s="52">
        <f t="shared" si="14"/>
        <v>0.81079717046073663</v>
      </c>
      <c r="E73" s="52">
        <f t="shared" si="14"/>
        <v>0.84818168135719374</v>
      </c>
      <c r="F73" s="52">
        <f t="shared" si="14"/>
        <v>0.88085103823145638</v>
      </c>
      <c r="G73" s="52">
        <f t="shared" si="14"/>
        <v>0.90827483109071494</v>
      </c>
      <c r="H73" s="52">
        <f t="shared" si="14"/>
        <v>0.93051429559191734</v>
      </c>
      <c r="I73" s="52">
        <f t="shared" si="14"/>
        <v>0.94804176803771423</v>
      </c>
      <c r="J73" s="52">
        <f t="shared" si="14"/>
        <v>0.96154299715640101</v>
      </c>
      <c r="K73" s="52">
        <f t="shared" si="14"/>
        <v>0.97175859982817936</v>
      </c>
      <c r="L73" s="52">
        <f t="shared" si="14"/>
        <v>0.97938319462824563</v>
      </c>
      <c r="M73" s="52">
        <f t="shared" si="14"/>
        <v>0.98501568827896635</v>
      </c>
      <c r="N73" s="52">
        <f t="shared" si="14"/>
        <v>0.98914485712052835</v>
      </c>
      <c r="O73" s="52">
        <f t="shared" si="14"/>
        <v>0.99215493556721868</v>
      </c>
      <c r="P73" s="52">
        <f t="shared" si="14"/>
        <v>0.99434019597926471</v>
      </c>
      <c r="Q73" s="52">
        <f t="shared" si="14"/>
        <v>0.99592190266357827</v>
      </c>
      <c r="R73" s="52">
        <f t="shared" si="14"/>
        <v>0.99706426562853179</v>
      </c>
      <c r="S73" s="52">
        <f t="shared" si="14"/>
        <v>0.99788802270394406</v>
      </c>
      <c r="T73" s="52">
        <f t="shared" si="14"/>
        <v>0.99848135928825243</v>
      </c>
      <c r="U73" s="52">
        <f t="shared" si="14"/>
        <v>0.9989083787785642</v>
      </c>
      <c r="V73" s="52">
        <f t="shared" si="14"/>
        <v>0.9992155201808729</v>
      </c>
      <c r="W73" s="52">
        <f t="shared" si="14"/>
        <v>0.99943634348126853</v>
      </c>
      <c r="X73" s="52">
        <f t="shared" si="14"/>
        <v>0.99959505886091571</v>
      </c>
      <c r="Y73" s="52">
        <f t="shared" si="14"/>
        <v>0.99970910955580594</v>
      </c>
      <c r="Z73" s="52">
        <f t="shared" si="14"/>
        <v>0.99979105191169571</v>
      </c>
      <c r="AA73" s="52">
        <f t="shared" si="14"/>
        <v>0.99984991862635675</v>
      </c>
      <c r="AB73" s="52">
        <f t="shared" si="14"/>
        <v>0.99989220455126604</v>
      </c>
      <c r="AC73" s="52">
        <f t="shared" si="14"/>
        <v>0.99992257816735142</v>
      </c>
      <c r="AD73" s="52">
        <f t="shared" si="14"/>
        <v>0.99994439435900329</v>
      </c>
      <c r="AE73" s="52">
        <f t="shared" si="14"/>
        <v>0.99996006361193712</v>
      </c>
      <c r="AF73" s="52">
        <f t="shared" si="14"/>
        <v>0.99997131764637848</v>
      </c>
      <c r="AG73" s="52">
        <f t="shared" si="14"/>
        <v>0.99997940043899392</v>
      </c>
      <c r="AH73" s="52">
        <f t="shared" si="14"/>
        <v>0.99998520554001957</v>
      </c>
      <c r="AI73" s="52">
        <f t="shared" si="14"/>
        <v>0.99998937475841143</v>
      </c>
      <c r="AJ73" s="52">
        <f t="shared" si="14"/>
        <v>0.99999236907010258</v>
      </c>
      <c r="AK73" s="52">
        <f t="shared" si="14"/>
        <v>0.99999451956081042</v>
      </c>
      <c r="AL73" s="52">
        <f t="shared" si="14"/>
        <v>0.99999606402144814</v>
      </c>
      <c r="AM73" s="52">
        <f t="shared" si="14"/>
        <v>0.99999717323506254</v>
      </c>
      <c r="AN73" s="52">
        <f t="shared" si="14"/>
        <v>0.99999796985812106</v>
      </c>
      <c r="AO73" s="52">
        <f t="shared" si="14"/>
        <v>0.99999854198200278</v>
      </c>
      <c r="AP73" s="52">
        <f t="shared" si="14"/>
        <v>0.99999895287329432</v>
      </c>
      <c r="AQ73" s="52">
        <f t="shared" si="14"/>
        <v>0.99999924796944928</v>
      </c>
      <c r="AR73" s="52">
        <f t="shared" si="14"/>
        <v>0.99999945990313321</v>
      </c>
      <c r="AS73" s="52">
        <f t="shared" si="14"/>
        <v>0.9999995765556321</v>
      </c>
    </row>
    <row r="74" spans="1:45" ht="14" thickTop="1" thickBot="1">
      <c r="A74" s="46"/>
      <c r="B74" s="51" t="s">
        <v>36</v>
      </c>
      <c r="C74" s="52">
        <f>Parameters!$E$15*C73*C71*C72</f>
        <v>11.471906047722323</v>
      </c>
      <c r="D74" s="52">
        <f>Parameters!$E$15*D73*D71*D72</f>
        <v>13.918657172772864</v>
      </c>
      <c r="E74" s="52">
        <f>Parameters!$E$15*E73*E71*E72</f>
        <v>16.647793342315197</v>
      </c>
      <c r="F74" s="52">
        <f>Parameters!$E$15*F73*F71*F72</f>
        <v>19.584338093812327</v>
      </c>
      <c r="G74" s="52">
        <f>Parameters!$E$15*G73*G71*G72</f>
        <v>22.624892020659296</v>
      </c>
      <c r="H74" s="52">
        <f>Parameters!$E$15*H73*H71*H72</f>
        <v>25.648110472932615</v>
      </c>
      <c r="I74" s="52">
        <f>Parameters!$E$15*I73*I71*I72</f>
        <v>28.530504192426893</v>
      </c>
      <c r="J74" s="52">
        <f>Parameters!$E$15*J73*J71*J72</f>
        <v>31.164563932476895</v>
      </c>
      <c r="K74" s="52">
        <f>Parameters!$E$15*K73*K71*K72</f>
        <v>33.474012991922415</v>
      </c>
      <c r="L74" s="52">
        <f>Parameters!$E$15*L73*L71*L72</f>
        <v>35.421220690127065</v>
      </c>
      <c r="M74" s="52">
        <f>Parameters!$E$15*M73*M71*M72</f>
        <v>37.005083223428301</v>
      </c>
      <c r="N74" s="52">
        <f>Parameters!$E$15*N73*N71*N72</f>
        <v>38.251755688751487</v>
      </c>
      <c r="O74" s="52">
        <f>Parameters!$E$15*O73*O71*O72</f>
        <v>39.20270206983534</v>
      </c>
      <c r="P74" s="52">
        <f>Parameters!$E$15*P73*P71*P72</f>
        <v>39.903921932710205</v>
      </c>
      <c r="Q74" s="52">
        <f>Parameters!$E$15*Q73*Q71*Q72</f>
        <v>40.398243954523238</v>
      </c>
      <c r="R74" s="52">
        <f>Parameters!$E$15*R73*R71*R72</f>
        <v>40.720802258357757</v>
      </c>
      <c r="S74" s="52">
        <f>Parameters!$E$15*S73*S71*S72</f>
        <v>40.896893720706764</v>
      </c>
      <c r="T74" s="52">
        <f>Parameters!$E$15*T73*T71*T72</f>
        <v>40.941239930646809</v>
      </c>
      <c r="U74" s="52">
        <f>Parameters!$E$15*U73*U71*U72</f>
        <v>40.857892125650494</v>
      </c>
      <c r="V74" s="52">
        <f>Parameters!$E$15*V73*V71*V72</f>
        <v>40.640354970261271</v>
      </c>
      <c r="W74" s="52">
        <f>Parameters!$E$15*W73*W71*W72</f>
        <v>40.271851501429097</v>
      </c>
      <c r="X74" s="52">
        <f>Parameters!$E$15*X73*X71*X72</f>
        <v>39.725988560791116</v>
      </c>
      <c r="Y74" s="52">
        <f>Parameters!$E$15*Y73*Y71*Y72</f>
        <v>38.968406620027565</v>
      </c>
      <c r="Z74" s="52">
        <f>Parameters!$E$15*Z73*Z71*Z72</f>
        <v>37.960243751011305</v>
      </c>
      <c r="AA74" s="52">
        <f>Parameters!$E$15*AA73*AA71*AA72</f>
        <v>36.664215021264695</v>
      </c>
      <c r="AB74" s="52">
        <f>Parameters!$E$15*AB73*AB71*AB72</f>
        <v>35.053491677882562</v>
      </c>
      <c r="AC74" s="52">
        <f>Parameters!$E$15*AC73*AC71*AC72</f>
        <v>33.12214495921058</v>
      </c>
      <c r="AD74" s="52">
        <f>Parameters!$E$15*AD73*AD71*AD72</f>
        <v>30.894053433400739</v>
      </c>
      <c r="AE74" s="52">
        <f>Parameters!$E$15*AE73*AE71*AE72</f>
        <v>28.426116204520429</v>
      </c>
      <c r="AF74" s="52">
        <f>Parameters!$E$15*AF73*AF71*AF72</f>
        <v>25.802883877731439</v>
      </c>
      <c r="AG74" s="52">
        <f>Parameters!$E$15*AG73*AG71*AG72</f>
        <v>23.123396280418071</v>
      </c>
      <c r="AH74" s="52">
        <f>Parameters!$E$15*AH73*AH71*AH72</f>
        <v>20.48484052498835</v>
      </c>
      <c r="AI74" s="52">
        <f>Parameters!$E$15*AI73*AI71*AI72</f>
        <v>17.968783462014532</v>
      </c>
      <c r="AJ74" s="52">
        <f>Parameters!$E$15*AJ73*AJ71*AJ72</f>
        <v>15.633616122906245</v>
      </c>
      <c r="AK74" s="52">
        <f>Parameters!$E$15*AK73*AK71*AK72</f>
        <v>13.513492041532007</v>
      </c>
      <c r="AL74" s="52">
        <f>Parameters!$E$15*AL73*AL71*AL72</f>
        <v>11.62173830451488</v>
      </c>
      <c r="AM74" s="52">
        <f>Parameters!$E$15*AM73*AM71*AM72</f>
        <v>9.9561978220828564</v>
      </c>
      <c r="AN74" s="52">
        <f>Parameters!$E$15*AN73*AN71*AN72</f>
        <v>8.5046030600818199</v>
      </c>
      <c r="AO74" s="52">
        <f>Parameters!$E$15*AO73*AO71*AO72</f>
        <v>7.2490061304839042</v>
      </c>
      <c r="AP74" s="52">
        <f>Parameters!$E$15*AP73*AP71*AP72</f>
        <v>6.1689964638874599</v>
      </c>
      <c r="AQ74" s="52">
        <f>Parameters!$E$15*AQ73*AQ71*AQ72</f>
        <v>5.2438185574492033</v>
      </c>
      <c r="AR74" s="52">
        <f>Parameters!$E$15*AR73*AR71*AR72</f>
        <v>4.453639838924242</v>
      </c>
      <c r="AS74" s="52">
        <f>Parameters!$E$15*AS73*AS71*AS72</f>
        <v>3.9482237710095669</v>
      </c>
    </row>
    <row r="75" spans="1:45" ht="14" thickTop="1" thickBot="1">
      <c r="A75" s="46"/>
      <c r="B75" s="51" t="s">
        <v>37</v>
      </c>
      <c r="C75" s="52">
        <f t="shared" ref="C75:AS75" si="15">(LOG10(C74))*20</f>
        <v>21.192711631323103</v>
      </c>
      <c r="D75" s="52">
        <f t="shared" si="15"/>
        <v>22.871946759246939</v>
      </c>
      <c r="E75" s="52">
        <f t="shared" si="15"/>
        <v>24.427133522291967</v>
      </c>
      <c r="F75" s="52">
        <f t="shared" si="15"/>
        <v>25.838177959278333</v>
      </c>
      <c r="G75" s="52">
        <f t="shared" si="15"/>
        <v>27.091730303450912</v>
      </c>
      <c r="H75" s="52">
        <f t="shared" si="15"/>
        <v>28.181107512616947</v>
      </c>
      <c r="I75" s="52">
        <f t="shared" si="15"/>
        <v>29.106188931952602</v>
      </c>
      <c r="J75" s="52">
        <f t="shared" si="15"/>
        <v>29.873221088835034</v>
      </c>
      <c r="K75" s="52">
        <f t="shared" si="15"/>
        <v>30.494155607045414</v>
      </c>
      <c r="L75" s="52">
        <f t="shared" si="15"/>
        <v>30.98527047635347</v>
      </c>
      <c r="M75" s="52">
        <f t="shared" si="15"/>
        <v>31.365227705260477</v>
      </c>
      <c r="N75" s="52">
        <f t="shared" si="15"/>
        <v>31.653027466100209</v>
      </c>
      <c r="O75" s="52">
        <f t="shared" si="15"/>
        <v>31.866320041213424</v>
      </c>
      <c r="P75" s="52">
        <f t="shared" si="15"/>
        <v>32.020311643072851</v>
      </c>
      <c r="Q75" s="52">
        <f t="shared" si="15"/>
        <v>32.127249749026127</v>
      </c>
      <c r="R75" s="52">
        <f t="shared" si="15"/>
        <v>32.196326512775258</v>
      </c>
      <c r="S75" s="52">
        <f t="shared" si="15"/>
        <v>32.233806457854691</v>
      </c>
      <c r="T75" s="52">
        <f t="shared" si="15"/>
        <v>32.243219828026291</v>
      </c>
      <c r="U75" s="52">
        <f t="shared" si="15"/>
        <v>32.225519149104279</v>
      </c>
      <c r="V75" s="52">
        <f t="shared" si="15"/>
        <v>32.179149852127715</v>
      </c>
      <c r="W75" s="52">
        <f t="shared" si="15"/>
        <v>32.10003193576393</v>
      </c>
      <c r="X75" s="52">
        <f t="shared" si="15"/>
        <v>31.981494264173506</v>
      </c>
      <c r="Y75" s="52">
        <f t="shared" si="15"/>
        <v>31.814252965596207</v>
      </c>
      <c r="Z75" s="52">
        <f t="shared" si="15"/>
        <v>31.586579849277541</v>
      </c>
      <c r="AA75" s="52">
        <f t="shared" si="15"/>
        <v>31.284847824225615</v>
      </c>
      <c r="AB75" s="52">
        <f t="shared" si="15"/>
        <v>30.894625690509674</v>
      </c>
      <c r="AC75" s="52">
        <f t="shared" si="15"/>
        <v>30.4023690705814</v>
      </c>
      <c r="AD75" s="52">
        <f t="shared" si="15"/>
        <v>29.797497867077034</v>
      </c>
      <c r="AE75" s="52">
        <f t="shared" si="15"/>
        <v>29.074350541563952</v>
      </c>
      <c r="AF75" s="52">
        <f t="shared" si="15"/>
        <v>28.233364958173155</v>
      </c>
      <c r="AG75" s="52">
        <f t="shared" si="15"/>
        <v>27.281032440574485</v>
      </c>
      <c r="AH75" s="52">
        <f t="shared" si="15"/>
        <v>26.22865174617165</v>
      </c>
      <c r="AI75" s="52">
        <f t="shared" si="15"/>
        <v>25.090373502537151</v>
      </c>
      <c r="AJ75" s="52">
        <f t="shared" si="15"/>
        <v>23.881188876548439</v>
      </c>
      <c r="AK75" s="52">
        <f t="shared" si="15"/>
        <v>22.615351804128146</v>
      </c>
      <c r="AL75" s="52">
        <f t="shared" si="15"/>
        <v>21.305421837500415</v>
      </c>
      <c r="AM75" s="52">
        <f t="shared" si="15"/>
        <v>19.961870342470494</v>
      </c>
      <c r="AN75" s="52">
        <f t="shared" si="15"/>
        <v>18.593080967227962</v>
      </c>
      <c r="AO75" s="52">
        <f t="shared" si="15"/>
        <v>17.205569340703978</v>
      </c>
      <c r="AP75" s="52">
        <f t="shared" si="15"/>
        <v>15.80429042606745</v>
      </c>
      <c r="AQ75" s="52">
        <f t="shared" si="15"/>
        <v>14.392953123130356</v>
      </c>
      <c r="AR75" s="52">
        <f t="shared" si="15"/>
        <v>12.974301863784261</v>
      </c>
      <c r="AS75" s="52">
        <f t="shared" si="15"/>
        <v>11.928035178638083</v>
      </c>
    </row>
    <row r="76" spans="1:45" ht="13" thickTop="1">
      <c r="A76" s="46"/>
      <c r="B76" s="107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</row>
    <row r="77" spans="1:45" ht="15">
      <c r="A77" s="109"/>
      <c r="B77" s="110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2" t="s">
        <v>60</v>
      </c>
      <c r="AA77" s="112"/>
      <c r="AB77" s="109"/>
      <c r="AC77" s="109"/>
      <c r="AD77" s="112" t="s">
        <v>54</v>
      </c>
      <c r="AE77" s="113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</row>
    <row r="78" spans="1:45" ht="15">
      <c r="A78" s="112" t="s">
        <v>28</v>
      </c>
      <c r="B78" s="110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09" t="s">
        <v>57</v>
      </c>
      <c r="AA78" s="109" t="s">
        <v>58</v>
      </c>
      <c r="AB78" s="109" t="s">
        <v>59</v>
      </c>
      <c r="AC78" s="109" t="s">
        <v>53</v>
      </c>
      <c r="AD78" s="109" t="s">
        <v>55</v>
      </c>
      <c r="AE78" s="109" t="s">
        <v>56</v>
      </c>
      <c r="AF78" s="111"/>
      <c r="AG78" s="111"/>
      <c r="AH78" s="111"/>
      <c r="AI78" s="111"/>
      <c r="AJ78" s="111"/>
      <c r="AK78" s="111"/>
      <c r="AL78" s="111"/>
      <c r="AM78" s="111"/>
      <c r="AN78" s="111"/>
      <c r="AO78" s="111"/>
      <c r="AP78" s="111"/>
      <c r="AQ78" s="111"/>
      <c r="AR78" s="111"/>
      <c r="AS78" s="111"/>
    </row>
    <row r="79" spans="1:45">
      <c r="A79" s="114" t="s">
        <v>3</v>
      </c>
      <c r="B79" s="114" t="s">
        <v>0</v>
      </c>
      <c r="C79" s="111">
        <v>0</v>
      </c>
      <c r="D79" s="111">
        <v>7</v>
      </c>
      <c r="E79" s="111">
        <v>15</v>
      </c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09">
        <f t="array" ref="Z79:AB79">LINEST(C79:E79, C$3:E$3^{1;2})</f>
        <v>7.9999999999999906E-4</v>
      </c>
      <c r="AA79" s="109">
        <v>0.26000000000000006</v>
      </c>
      <c r="AB79" s="109">
        <v>-1.1102230246251565E-15</v>
      </c>
      <c r="AC79" s="109">
        <f>AB79-AD79</f>
        <v>-1.1102230246251565E-15</v>
      </c>
      <c r="AD79" s="109">
        <f>0/Parameters!$C$3*1000</f>
        <v>0</v>
      </c>
      <c r="AE79" s="109">
        <v>0</v>
      </c>
      <c r="AF79" s="111"/>
      <c r="AG79" s="111"/>
      <c r="AH79" s="111"/>
      <c r="AI79" s="111"/>
      <c r="AJ79" s="111"/>
      <c r="AK79" s="111"/>
      <c r="AL79" s="111"/>
      <c r="AM79" s="111"/>
      <c r="AN79" s="111"/>
      <c r="AO79" s="111"/>
      <c r="AP79" s="111"/>
      <c r="AQ79" s="111"/>
      <c r="AR79" s="111"/>
      <c r="AS79" s="111"/>
    </row>
    <row r="80" spans="1:45">
      <c r="A80" s="115"/>
      <c r="B80" s="116">
        <v>-1</v>
      </c>
      <c r="C80" s="111">
        <v>0</v>
      </c>
      <c r="D80" s="111">
        <v>0.7</v>
      </c>
      <c r="E80" s="111">
        <v>5.5</v>
      </c>
      <c r="F80" s="111">
        <v>13</v>
      </c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09">
        <f t="array" ref="Z80:AB80">LINEST(C80:F80, C$3:F$3^{1;2})</f>
        <v>2.7200000000000002E-3</v>
      </c>
      <c r="AA80" s="109">
        <v>-2.8799999999999999E-2</v>
      </c>
      <c r="AB80" s="109">
        <v>-7.0000000000000284E-2</v>
      </c>
      <c r="AC80" s="109">
        <f t="shared" ref="AC80:AC89" si="16">AB80-AD80</f>
        <v>-0.73666666666666691</v>
      </c>
      <c r="AD80" s="109">
        <f>-B80/Parameters!$C$3*1000</f>
        <v>0.66666666666666663</v>
      </c>
      <c r="AE80" s="109">
        <f t="shared" ref="AE80:AE87" si="17">(-AA80+(AA80^2-4*Z80*AC80)^0.5)/(2*Z80)</f>
        <v>22.581714790509185</v>
      </c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</row>
    <row r="81" spans="1:45">
      <c r="A81" s="109"/>
      <c r="B81" s="116">
        <v>-2</v>
      </c>
      <c r="C81" s="111"/>
      <c r="D81" s="111">
        <v>0</v>
      </c>
      <c r="E81" s="111">
        <v>0.3</v>
      </c>
      <c r="F81" s="111">
        <v>4</v>
      </c>
      <c r="G81" s="111">
        <v>10.09</v>
      </c>
      <c r="H81" s="111">
        <v>19</v>
      </c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  <c r="Z81" s="109">
        <f t="array" ref="Z81:AB81">LINEST(D81:H81, D3:H3^{1;2})</f>
        <v>2.241142857142856E-3</v>
      </c>
      <c r="AA81" s="109">
        <v>-0.1450114285714284</v>
      </c>
      <c r="AB81" s="109">
        <v>2.1459999999999937</v>
      </c>
      <c r="AC81" s="109">
        <f t="shared" si="16"/>
        <v>0.81266666666666043</v>
      </c>
      <c r="AD81" s="109">
        <f>-B81/Parameters!$C$3*1000</f>
        <v>1.3333333333333333</v>
      </c>
      <c r="AE81" s="109">
        <f t="shared" si="17"/>
        <v>58.50640490893246</v>
      </c>
      <c r="AF81" s="111"/>
      <c r="AG81" s="111"/>
      <c r="AH81" s="111"/>
      <c r="AI81" s="111"/>
      <c r="AJ81" s="111"/>
      <c r="AK81" s="111"/>
      <c r="AL81" s="111"/>
      <c r="AM81" s="111"/>
      <c r="AN81" s="111"/>
      <c r="AO81" s="111"/>
      <c r="AP81" s="111"/>
      <c r="AQ81" s="111"/>
      <c r="AR81" s="111"/>
      <c r="AS81" s="111"/>
    </row>
    <row r="82" spans="1:45">
      <c r="A82" s="109"/>
      <c r="B82" s="116">
        <v>-3</v>
      </c>
      <c r="C82" s="111"/>
      <c r="D82" s="111"/>
      <c r="E82" s="111">
        <v>0</v>
      </c>
      <c r="F82" s="111">
        <v>0.26</v>
      </c>
      <c r="G82" s="111">
        <v>2.88</v>
      </c>
      <c r="H82" s="111">
        <v>8.1300000000000008</v>
      </c>
      <c r="I82" s="111">
        <v>16</v>
      </c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09">
        <f t="array" ref="Z82:AB82">LINEST(E82:I82, E3:I3^{1;2})</f>
        <v>2.0400000000000001E-3</v>
      </c>
      <c r="AA82" s="109">
        <v>-0.24852000000000007</v>
      </c>
      <c r="AB82" s="109">
        <v>7.3560000000000052</v>
      </c>
      <c r="AC82" s="109">
        <f t="shared" si="16"/>
        <v>5.3560000000000052</v>
      </c>
      <c r="AD82" s="109">
        <f>-B82/Parameters!$C$3*1000</f>
        <v>2</v>
      </c>
      <c r="AE82" s="109">
        <f t="shared" si="17"/>
        <v>93.847351591595256</v>
      </c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</row>
    <row r="83" spans="1:45">
      <c r="A83" s="109"/>
      <c r="B83" s="116">
        <v>-4</v>
      </c>
      <c r="C83" s="111"/>
      <c r="D83" s="111"/>
      <c r="E83" s="111"/>
      <c r="F83" s="111"/>
      <c r="G83" s="111">
        <v>0</v>
      </c>
      <c r="H83" s="111">
        <v>1.4</v>
      </c>
      <c r="I83" s="111">
        <v>6</v>
      </c>
      <c r="J83" s="111">
        <v>13.5</v>
      </c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09">
        <f t="array" ref="Z83:AB83">LINEST(G83:J83, G3:J3^{1;2})</f>
        <v>2.4399999999999995E-3</v>
      </c>
      <c r="AA83" s="109">
        <v>-0.49059999999999976</v>
      </c>
      <c r="AB83" s="109">
        <v>24.644999999999975</v>
      </c>
      <c r="AC83" s="109">
        <f t="shared" si="16"/>
        <v>21.978333333333307</v>
      </c>
      <c r="AD83" s="109">
        <f>-B83/Parameters!$C$3*1000</f>
        <v>2.6666666666666665</v>
      </c>
      <c r="AE83" s="109">
        <f t="shared" si="17"/>
        <v>133.68889609172678</v>
      </c>
      <c r="AF83" s="111"/>
      <c r="AG83" s="111"/>
      <c r="AH83" s="111"/>
      <c r="AI83" s="111"/>
      <c r="AJ83" s="111"/>
      <c r="AK83" s="111"/>
      <c r="AL83" s="111"/>
      <c r="AM83" s="111"/>
      <c r="AN83" s="111"/>
      <c r="AO83" s="111"/>
      <c r="AP83" s="111"/>
      <c r="AQ83" s="111"/>
      <c r="AR83" s="111"/>
      <c r="AS83" s="111"/>
    </row>
    <row r="84" spans="1:45">
      <c r="A84" s="109"/>
      <c r="B84" s="116">
        <v>-5</v>
      </c>
      <c r="C84" s="111"/>
      <c r="D84" s="111"/>
      <c r="E84" s="111"/>
      <c r="F84" s="111"/>
      <c r="G84" s="111"/>
      <c r="H84" s="111">
        <v>0</v>
      </c>
      <c r="I84" s="111">
        <v>1</v>
      </c>
      <c r="J84" s="111">
        <v>5</v>
      </c>
      <c r="K84" s="111">
        <v>12</v>
      </c>
      <c r="L84" s="111">
        <v>21</v>
      </c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1"/>
      <c r="Z84" s="109">
        <f t="array" ref="Z84:AB84">LINEST(H84:L84, H3:L3^{1;2})</f>
        <v>2.0633289311457999E-3</v>
      </c>
      <c r="AA84" s="109">
        <v>-0.51386226147460035</v>
      </c>
      <c r="AB84" s="109">
        <v>31.865566885522327</v>
      </c>
      <c r="AC84" s="109">
        <f t="shared" si="16"/>
        <v>28.532233552188995</v>
      </c>
      <c r="AD84" s="109">
        <f>-B84/Parameters!$C$3*1000</f>
        <v>3.3333333333333335</v>
      </c>
      <c r="AE84" s="109">
        <f t="shared" si="17"/>
        <v>165.48151835391459</v>
      </c>
      <c r="AF84" s="111"/>
      <c r="AG84" s="111"/>
      <c r="AH84" s="111"/>
      <c r="AI84" s="111"/>
      <c r="AJ84" s="111"/>
      <c r="AK84" s="111"/>
      <c r="AL84" s="111"/>
      <c r="AM84" s="111"/>
      <c r="AN84" s="111"/>
      <c r="AO84" s="111"/>
      <c r="AP84" s="111"/>
      <c r="AQ84" s="111"/>
      <c r="AR84" s="111"/>
      <c r="AS84" s="111"/>
    </row>
    <row r="85" spans="1:45">
      <c r="A85" s="109"/>
      <c r="B85" s="116">
        <v>-6</v>
      </c>
      <c r="C85" s="117"/>
      <c r="D85" s="117"/>
      <c r="E85" s="117"/>
      <c r="F85" s="117"/>
      <c r="G85" s="117"/>
      <c r="H85" s="117"/>
      <c r="I85" s="117">
        <v>0</v>
      </c>
      <c r="J85" s="117">
        <v>0.8</v>
      </c>
      <c r="K85" s="117">
        <v>4.78</v>
      </c>
      <c r="L85" s="117">
        <v>11.65</v>
      </c>
      <c r="M85" s="117">
        <v>19.739999999999998</v>
      </c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09">
        <f t="array" ref="Z85:AB85">LINEST(I85:M85, I3:M3^{1;2})</f>
        <v>2.0374902169044543E-3</v>
      </c>
      <c r="AA85" s="109">
        <v>-0.61496836582334136</v>
      </c>
      <c r="AB85" s="109">
        <v>46.274290153734626</v>
      </c>
      <c r="AC85" s="109">
        <f t="shared" si="16"/>
        <v>42.274290153734626</v>
      </c>
      <c r="AD85" s="109">
        <f>-B85/Parameters!$C$3*1000</f>
        <v>4</v>
      </c>
      <c r="AE85" s="109">
        <f t="shared" si="17"/>
        <v>195.93074320900502</v>
      </c>
      <c r="AF85" s="117"/>
      <c r="AG85" s="117"/>
      <c r="AH85" s="117"/>
      <c r="AI85" s="117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</row>
    <row r="86" spans="1:45">
      <c r="A86" s="109"/>
      <c r="B86" s="116">
        <v>-7</v>
      </c>
      <c r="C86" s="117"/>
      <c r="D86" s="117"/>
      <c r="E86" s="117"/>
      <c r="F86" s="117"/>
      <c r="G86" s="117"/>
      <c r="H86" s="117"/>
      <c r="I86" s="117"/>
      <c r="J86" s="117">
        <v>0</v>
      </c>
      <c r="K86" s="117">
        <v>1</v>
      </c>
      <c r="L86" s="117">
        <v>5</v>
      </c>
      <c r="M86" s="117">
        <v>11</v>
      </c>
      <c r="N86" s="117">
        <v>18.899999999999999</v>
      </c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09">
        <f t="array" ref="Z86:AB86">LINEST(J86:N86, J3:N3^{1;2})</f>
        <v>1.8542917282701127E-3</v>
      </c>
      <c r="AA86" s="109">
        <v>-0.64323694163207767</v>
      </c>
      <c r="AB86" s="109">
        <v>55.674416970667437</v>
      </c>
      <c r="AC86" s="109">
        <f t="shared" si="16"/>
        <v>51.007750304000773</v>
      </c>
      <c r="AD86" s="109">
        <f>-B86/Parameters!$C$3*1000</f>
        <v>4.666666666666667</v>
      </c>
      <c r="AE86" s="109">
        <f t="shared" si="17"/>
        <v>224.19368566007506</v>
      </c>
      <c r="AF86" s="117"/>
      <c r="AG86" s="117"/>
      <c r="AH86" s="117"/>
      <c r="AI86" s="117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</row>
    <row r="87" spans="1:45">
      <c r="A87" s="109"/>
      <c r="B87" s="116">
        <v>-8</v>
      </c>
      <c r="C87" s="117"/>
      <c r="D87" s="117"/>
      <c r="E87" s="117"/>
      <c r="F87" s="117"/>
      <c r="G87" s="117"/>
      <c r="H87" s="117"/>
      <c r="I87" s="117"/>
      <c r="J87" s="117"/>
      <c r="K87" s="117">
        <v>0</v>
      </c>
      <c r="L87" s="117">
        <v>1</v>
      </c>
      <c r="M87" s="117">
        <v>4.66</v>
      </c>
      <c r="N87" s="117">
        <v>10.35</v>
      </c>
      <c r="O87" s="117">
        <v>17.3</v>
      </c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09">
        <f t="array" ref="Z87:AB87">LINEST(K87:O87, K3:O3^{1;2})</f>
        <v>1.6075974579334697E-3</v>
      </c>
      <c r="AA87" s="109">
        <v>-0.62762911309428948</v>
      </c>
      <c r="AB87" s="109">
        <v>61.063477548274179</v>
      </c>
      <c r="AC87" s="109">
        <f t="shared" si="16"/>
        <v>55.730144214940843</v>
      </c>
      <c r="AD87" s="109">
        <f>-B87/Parameters!$C$3*1000</f>
        <v>5.333333333333333</v>
      </c>
      <c r="AE87" s="109">
        <f t="shared" si="17"/>
        <v>253.85112067596157</v>
      </c>
      <c r="AF87" s="117"/>
      <c r="AG87" s="117"/>
      <c r="AH87" s="117"/>
      <c r="AI87" s="117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45">
      <c r="A88" s="109"/>
      <c r="B88" s="116">
        <v>-9</v>
      </c>
      <c r="C88" s="117"/>
      <c r="D88" s="117"/>
      <c r="E88" s="117"/>
      <c r="F88" s="117"/>
      <c r="G88" s="117"/>
      <c r="H88" s="117"/>
      <c r="I88" s="117"/>
      <c r="J88" s="117"/>
      <c r="K88" s="117"/>
      <c r="L88" s="117">
        <v>0</v>
      </c>
      <c r="M88" s="117">
        <v>0.8</v>
      </c>
      <c r="N88" s="117">
        <v>4.04</v>
      </c>
      <c r="O88" s="117">
        <v>9.2200000000000006</v>
      </c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09">
        <f t="array" ref="Z88:AB88">LINEST(L88:O88, L3:O3^{1;2})</f>
        <v>1.753275405298153E-3</v>
      </c>
      <c r="AA88" s="109">
        <v>-0.7969399374322651</v>
      </c>
      <c r="AB88" s="109">
        <v>90.532014054832644</v>
      </c>
      <c r="AC88" s="109">
        <f t="shared" si="16"/>
        <v>84.532014054832644</v>
      </c>
      <c r="AD88" s="109">
        <f>-B88/Parameters!$C$3*1000</f>
        <v>6</v>
      </c>
      <c r="AE88" s="109">
        <f>(-AA88+(AA88^2-4*Z88*AC88)^0.5)/(2*Z88)</f>
        <v>285.91200767401585</v>
      </c>
      <c r="AF88" s="117"/>
      <c r="AG88" s="117"/>
      <c r="AH88" s="117"/>
      <c r="AI88" s="117"/>
      <c r="AJ88" s="109"/>
      <c r="AK88" s="109"/>
      <c r="AL88" s="109"/>
      <c r="AM88" s="109"/>
      <c r="AN88" s="109"/>
      <c r="AO88" s="109"/>
      <c r="AP88" s="109"/>
      <c r="AQ88" s="109"/>
      <c r="AR88" s="109"/>
      <c r="AS88" s="109"/>
    </row>
    <row r="89" spans="1:45">
      <c r="A89" s="109"/>
      <c r="B89" s="116">
        <v>-10</v>
      </c>
      <c r="C89" s="117"/>
      <c r="D89" s="117"/>
      <c r="E89" s="117"/>
      <c r="F89" s="117"/>
      <c r="G89" s="117"/>
      <c r="H89" s="117"/>
      <c r="I89" s="117"/>
      <c r="J89" s="117"/>
      <c r="K89" s="117"/>
      <c r="L89" s="117"/>
      <c r="M89" s="117">
        <v>0</v>
      </c>
      <c r="N89" s="117">
        <v>0.8</v>
      </c>
      <c r="O89" s="117">
        <v>4.22</v>
      </c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09">
        <f t="array" ref="Z89:AB89">LINEST(M89:O89, M$3:O$3^{1;2})</f>
        <v>2.0960000000000032E-3</v>
      </c>
      <c r="AA89" s="109">
        <v>-1.0684000000000018</v>
      </c>
      <c r="AB89" s="109">
        <v>136.10000000000028</v>
      </c>
      <c r="AC89" s="109">
        <f t="shared" si="16"/>
        <v>129.43333333333362</v>
      </c>
      <c r="AD89" s="109">
        <f>-B89/Parameters!$C$3*1000</f>
        <v>6.666666666666667</v>
      </c>
      <c r="AE89" s="109">
        <f>(-AA89+(AA89^2-4*Z89*AC89)^0.5)/(2*Z89)</f>
        <v>311.47333357007437</v>
      </c>
      <c r="AF89" s="117"/>
      <c r="AG89" s="117"/>
      <c r="AH89" s="117"/>
      <c r="AI89" s="117"/>
      <c r="AJ89" s="109"/>
      <c r="AK89" s="109"/>
      <c r="AL89" s="109"/>
      <c r="AM89" s="109"/>
      <c r="AN89" s="109"/>
      <c r="AO89" s="109"/>
      <c r="AP89" s="109"/>
      <c r="AQ89" s="109"/>
      <c r="AR89" s="109"/>
      <c r="AS89" s="109"/>
    </row>
    <row r="90" spans="1:45">
      <c r="A90" s="109"/>
      <c r="B90" s="116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  <c r="AA90" s="117"/>
      <c r="AB90" s="117"/>
      <c r="AC90" s="117"/>
      <c r="AD90" s="117"/>
      <c r="AE90" s="117"/>
      <c r="AF90" s="117"/>
      <c r="AG90" s="117"/>
      <c r="AH90" s="117"/>
      <c r="AI90" s="117"/>
      <c r="AJ90" s="109"/>
      <c r="AK90" s="109"/>
      <c r="AL90" s="109"/>
      <c r="AM90" s="109"/>
      <c r="AN90" s="109"/>
      <c r="AO90" s="109"/>
      <c r="AP90" s="109"/>
      <c r="AQ90" s="109"/>
      <c r="AR90" s="109"/>
      <c r="AS90" s="109"/>
    </row>
    <row r="91" spans="1:45">
      <c r="A91" s="109"/>
      <c r="B91" s="116" t="s">
        <v>17</v>
      </c>
      <c r="C91" s="109" t="s">
        <v>22</v>
      </c>
      <c r="D91" s="109">
        <f>('Valve Spec'!$B$5/'Graph Data'!D$3)*1000</f>
        <v>60</v>
      </c>
      <c r="E91" s="109">
        <f>('Valve Spec'!$B$5/'Graph Data'!E$3)*1000</f>
        <v>30</v>
      </c>
      <c r="F91" s="109">
        <f>('Valve Spec'!$B$5/'Graph Data'!F$3)*1000</f>
        <v>20</v>
      </c>
      <c r="G91" s="109">
        <f>('Valve Spec'!$B$5/'Graph Data'!G$3)*1000</f>
        <v>15</v>
      </c>
      <c r="H91" s="109">
        <f>('Valve Spec'!$B$5/'Graph Data'!H$3)*1000</f>
        <v>12</v>
      </c>
      <c r="I91" s="109">
        <f>('Valve Spec'!$B$5/'Graph Data'!I$3)*1000</f>
        <v>10</v>
      </c>
      <c r="J91" s="109">
        <f>('Valve Spec'!$B$5/'Graph Data'!J$3)*1000</f>
        <v>8.5714285714285712</v>
      </c>
      <c r="K91" s="109">
        <f>('Valve Spec'!$B$5/'Graph Data'!K$3)*1000</f>
        <v>7.5</v>
      </c>
      <c r="L91" s="109">
        <f>('Valve Spec'!$B$5/'Graph Data'!L$3)*1000</f>
        <v>6.6342326404245915</v>
      </c>
      <c r="M91" s="109">
        <f>('Valve Spec'!$B$5/'Graph Data'!M$3)*1000</f>
        <v>6</v>
      </c>
      <c r="N91" s="109">
        <f>('Valve Spec'!$B$5/'Graph Data'!N$3)*1000</f>
        <v>5.454545454545455</v>
      </c>
      <c r="O91" s="109">
        <f>('Valve Spec'!$B$5/'Graph Data'!O$3)*1000</f>
        <v>5</v>
      </c>
      <c r="P91" s="109"/>
      <c r="Q91" s="109"/>
      <c r="R91" s="109"/>
      <c r="S91" s="117"/>
      <c r="T91" s="117"/>
      <c r="U91" s="117"/>
      <c r="V91" s="117"/>
      <c r="W91" s="117"/>
      <c r="X91" s="117"/>
      <c r="Y91" s="117"/>
      <c r="Z91" s="117"/>
      <c r="AA91" s="117"/>
      <c r="AB91" s="117"/>
      <c r="AC91" s="117"/>
      <c r="AD91" s="117"/>
      <c r="AE91" s="117"/>
      <c r="AF91" s="117"/>
      <c r="AG91" s="117"/>
      <c r="AH91" s="117"/>
      <c r="AI91" s="117"/>
      <c r="AJ91" s="109"/>
      <c r="AK91" s="109"/>
      <c r="AL91" s="109"/>
      <c r="AM91" s="109"/>
      <c r="AN91" s="109"/>
      <c r="AO91" s="109"/>
      <c r="AP91" s="109"/>
      <c r="AQ91" s="109"/>
      <c r="AR91" s="109"/>
      <c r="AS91" s="109"/>
    </row>
    <row r="92" spans="1:45" ht="13" thickBot="1">
      <c r="A92" s="40"/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1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</row>
    <row r="93" spans="1:45" ht="14" thickTop="1" thickBot="1">
      <c r="A93" s="40"/>
      <c r="B93" s="42" t="s">
        <v>21</v>
      </c>
      <c r="C93" s="43">
        <v>10</v>
      </c>
      <c r="D93" s="43">
        <f>C93*1.18</f>
        <v>11.799999999999999</v>
      </c>
      <c r="E93" s="43">
        <f t="shared" ref="E93:AR93" si="18">D93*1.18</f>
        <v>13.923999999999998</v>
      </c>
      <c r="F93" s="43">
        <f t="shared" si="18"/>
        <v>16.430319999999995</v>
      </c>
      <c r="G93" s="43">
        <f t="shared" si="18"/>
        <v>19.387777599999993</v>
      </c>
      <c r="H93" s="43">
        <f t="shared" si="18"/>
        <v>22.877577567999989</v>
      </c>
      <c r="I93" s="43">
        <f t="shared" si="18"/>
        <v>26.995541530239986</v>
      </c>
      <c r="J93" s="43">
        <f t="shared" si="18"/>
        <v>31.854739005683182</v>
      </c>
      <c r="K93" s="43">
        <f t="shared" si="18"/>
        <v>37.588592026706152</v>
      </c>
      <c r="L93" s="43">
        <f t="shared" si="18"/>
        <v>44.354538591513254</v>
      </c>
      <c r="M93" s="43">
        <f t="shared" si="18"/>
        <v>52.338355537985635</v>
      </c>
      <c r="N93" s="43">
        <f t="shared" si="18"/>
        <v>61.759259534823045</v>
      </c>
      <c r="O93" s="43">
        <f t="shared" si="18"/>
        <v>72.875926251091187</v>
      </c>
      <c r="P93" s="43">
        <f t="shared" si="18"/>
        <v>85.993592976287601</v>
      </c>
      <c r="Q93" s="43">
        <f t="shared" si="18"/>
        <v>101.47243971201937</v>
      </c>
      <c r="R93" s="43">
        <f t="shared" si="18"/>
        <v>119.73747886018285</v>
      </c>
      <c r="S93" s="43">
        <f t="shared" si="18"/>
        <v>141.29022505501575</v>
      </c>
      <c r="T93" s="43">
        <f t="shared" si="18"/>
        <v>166.72246556491859</v>
      </c>
      <c r="U93" s="43">
        <f t="shared" si="18"/>
        <v>196.73250936660392</v>
      </c>
      <c r="V93" s="43">
        <f t="shared" si="18"/>
        <v>232.14436105259261</v>
      </c>
      <c r="W93" s="43">
        <f t="shared" si="18"/>
        <v>273.93034604205928</v>
      </c>
      <c r="X93" s="43">
        <f t="shared" si="18"/>
        <v>323.23780832962996</v>
      </c>
      <c r="Y93" s="43">
        <f t="shared" si="18"/>
        <v>381.42061382896333</v>
      </c>
      <c r="Z93" s="43">
        <f t="shared" si="18"/>
        <v>450.07632431817672</v>
      </c>
      <c r="AA93" s="43">
        <f t="shared" si="18"/>
        <v>531.09006269544852</v>
      </c>
      <c r="AB93" s="43">
        <f t="shared" si="18"/>
        <v>626.68627398062927</v>
      </c>
      <c r="AC93" s="43">
        <f t="shared" si="18"/>
        <v>739.48980329714254</v>
      </c>
      <c r="AD93" s="43">
        <f t="shared" si="18"/>
        <v>872.59796789062818</v>
      </c>
      <c r="AE93" s="43">
        <f t="shared" si="18"/>
        <v>1029.6656021109411</v>
      </c>
      <c r="AF93" s="43">
        <f t="shared" si="18"/>
        <v>1215.0054104909104</v>
      </c>
      <c r="AG93" s="43">
        <f t="shared" si="18"/>
        <v>1433.7063843792741</v>
      </c>
      <c r="AH93" s="43">
        <f t="shared" si="18"/>
        <v>1691.7735335675434</v>
      </c>
      <c r="AI93" s="43">
        <f t="shared" si="18"/>
        <v>1996.2927696097011</v>
      </c>
      <c r="AJ93" s="43">
        <f t="shared" si="18"/>
        <v>2355.6254681394471</v>
      </c>
      <c r="AK93" s="43">
        <f t="shared" si="18"/>
        <v>2779.6380524045476</v>
      </c>
      <c r="AL93" s="43">
        <f t="shared" si="18"/>
        <v>3279.972901837366</v>
      </c>
      <c r="AM93" s="43">
        <f t="shared" si="18"/>
        <v>3870.3680241680918</v>
      </c>
      <c r="AN93" s="43">
        <f t="shared" si="18"/>
        <v>4567.0342685183477</v>
      </c>
      <c r="AO93" s="43">
        <f t="shared" si="18"/>
        <v>5389.1004368516496</v>
      </c>
      <c r="AP93" s="43">
        <f t="shared" si="18"/>
        <v>6359.1385154849459</v>
      </c>
      <c r="AQ93" s="43">
        <f t="shared" si="18"/>
        <v>7503.7834482722355</v>
      </c>
      <c r="AR93" s="43">
        <f t="shared" si="18"/>
        <v>8854.4644689612378</v>
      </c>
      <c r="AS93" s="43">
        <v>10000</v>
      </c>
    </row>
    <row r="94" spans="1:45" ht="38" thickTop="1" thickBot="1">
      <c r="A94" s="44" t="s">
        <v>34</v>
      </c>
      <c r="B94" s="42" t="s">
        <v>32</v>
      </c>
      <c r="C94" s="43">
        <f>1+((2*PI()*C93*(Parameters!$D$3/1000000)*Parameters!$C$3)^2)</f>
        <v>5.2991996771145251</v>
      </c>
      <c r="D94" s="43">
        <f>1+((2*PI()*D93*(Parameters!$D$3/1000000)*Parameters!$C$3)^2)</f>
        <v>6.9862056304142612</v>
      </c>
      <c r="E94" s="43">
        <f>1+((2*PI()*E93*(Parameters!$D$3/1000000)*Parameters!$C$3)^2)</f>
        <v>9.335192719788818</v>
      </c>
      <c r="F94" s="43">
        <f>1+((2*PI()*F93*(Parameters!$D$3/1000000)*Parameters!$C$3)^2)</f>
        <v>12.605922343033949</v>
      </c>
      <c r="G94" s="43">
        <f>1+((2*PI()*G93*(Parameters!$D$3/1000000)*Parameters!$C$3)^2)</f>
        <v>17.160086270440466</v>
      </c>
      <c r="H94" s="43">
        <f>1+((2*PI()*H93*(Parameters!$D$3/1000000)*Parameters!$C$3)^2)</f>
        <v>23.501304122961301</v>
      </c>
      <c r="I94" s="43">
        <f>1+((2*PI()*I93*(Parameters!$D$3/1000000)*Parameters!$C$3)^2)</f>
        <v>32.330815860811306</v>
      </c>
      <c r="J94" s="43">
        <f>1+((2*PI()*J93*(Parameters!$D$3/1000000)*Parameters!$C$3)^2)</f>
        <v>44.625028004593673</v>
      </c>
      <c r="K94" s="43">
        <f>1+((2*PI()*K93*(Parameters!$D$3/1000000)*Parameters!$C$3)^2)</f>
        <v>61.743488993596216</v>
      </c>
      <c r="L94" s="43">
        <f>1+((2*PI()*L93*(Parameters!$D$3/1000000)*Parameters!$C$3)^2)</f>
        <v>85.57923407468337</v>
      </c>
      <c r="M94" s="43">
        <f>1+((2*PI()*M93*(Parameters!$D$3/1000000)*Parameters!$C$3)^2)</f>
        <v>118.76812552558904</v>
      </c>
      <c r="N94" s="43">
        <f>1+((2*PI()*N93*(Parameters!$D$3/1000000)*Parameters!$C$3)^2)</f>
        <v>164.98033798183019</v>
      </c>
      <c r="O94" s="43">
        <f>1+((2*PI()*O93*(Parameters!$D$3/1000000)*Parameters!$C$3)^2)</f>
        <v>229.32622260590031</v>
      </c>
      <c r="P94" s="43">
        <f>1+((2*PI()*P93*(Parameters!$D$3/1000000)*Parameters!$C$3)^2)</f>
        <v>318.92143235645563</v>
      </c>
      <c r="Q94" s="43">
        <f>1+((2*PI()*Q93*(Parameters!$D$3/1000000)*Parameters!$C$3)^2)</f>
        <v>443.67380241312867</v>
      </c>
      <c r="R94" s="43">
        <f>1+((2*PI()*R93*(Parameters!$D$3/1000000)*Parameters!$C$3)^2)</f>
        <v>617.37900248004019</v>
      </c>
      <c r="S94" s="43">
        <f>1+((2*PI()*S93*(Parameters!$D$3/1000000)*Parameters!$C$3)^2)</f>
        <v>859.24612305320841</v>
      </c>
      <c r="T94" s="43">
        <f>1+((2*PI()*T93*(Parameters!$D$3/1000000)*Parameters!$C$3)^2)</f>
        <v>1196.0219017392872</v>
      </c>
      <c r="U94" s="43">
        <f>1+((2*PI()*U93*(Parameters!$D$3/1000000)*Parameters!$C$3)^2)</f>
        <v>1664.948495981783</v>
      </c>
      <c r="V94" s="43">
        <f>1+((2*PI()*V93*(Parameters!$D$3/1000000)*Parameters!$C$3)^2)</f>
        <v>2317.8818858050349</v>
      </c>
      <c r="W94" s="43">
        <f>1+((2*PI()*W93*(Parameters!$D$3/1000000)*Parameters!$C$3)^2)</f>
        <v>3227.0263377949309</v>
      </c>
      <c r="X94" s="43">
        <f>1+((2*PI()*X93*(Parameters!$D$3/1000000)*Parameters!$C$3)^2)</f>
        <v>4492.9190727456598</v>
      </c>
      <c r="Y94" s="43">
        <f>1+((2*PI()*Y93*(Parameters!$D$3/1000000)*Parameters!$C$3)^2)</f>
        <v>6255.5481168910574</v>
      </c>
      <c r="Z94" s="43">
        <f>1+((2*PI()*Z93*(Parameters!$D$3/1000000)*Parameters!$C$3)^2)</f>
        <v>8709.8327979591068</v>
      </c>
      <c r="AA94" s="43">
        <f>1+((2*PI()*AA93*(Parameters!$D$3/1000000)*Parameters!$C$3)^2)</f>
        <v>12127.17878787826</v>
      </c>
      <c r="AB94" s="43">
        <f>1+((2*PI()*AB93*(Parameters!$D$3/1000000)*Parameters!$C$3)^2)</f>
        <v>16885.491344241695</v>
      </c>
      <c r="AC94" s="43">
        <f>1+((2*PI()*AC93*(Parameters!$D$3/1000000)*Parameters!$C$3)^2)</f>
        <v>23510.965747722134</v>
      </c>
      <c r="AD94" s="43">
        <f>1+((2*PI()*AD93*(Parameters!$D$3/1000000)*Parameters!$C$3)^2)</f>
        <v>32736.27630712829</v>
      </c>
      <c r="AE94" s="43">
        <f>1+((2*PI()*AE93*(Parameters!$D$3/1000000)*Parameters!$C$3)^2)</f>
        <v>45581.598730045422</v>
      </c>
      <c r="AF94" s="43">
        <f>1+((2*PI()*AF93*(Parameters!$D$3/1000000)*Parameters!$C$3)^2)</f>
        <v>63467.425671715253</v>
      </c>
      <c r="AG94" s="43">
        <f>1+((2*PI()*AG93*(Parameters!$D$3/1000000)*Parameters!$C$3)^2)</f>
        <v>88371.651105296289</v>
      </c>
      <c r="AH94" s="43">
        <f>1+((2*PI()*AH93*(Parameters!$D$3/1000000)*Parameters!$C$3)^2)</f>
        <v>123048.29459901452</v>
      </c>
      <c r="AI94" s="43">
        <f>1+((2*PI()*AI93*(Parameters!$D$3/1000000)*Parameters!$C$3)^2)</f>
        <v>171332.05299966782</v>
      </c>
      <c r="AJ94" s="43">
        <f>1+((2*PI()*AJ93*(Parameters!$D$3/1000000)*Parameters!$C$3)^2)</f>
        <v>238562.35819673745</v>
      </c>
      <c r="AK94" s="43">
        <f>1+((2*PI()*AK93*(Parameters!$D$3/1000000)*Parameters!$C$3)^2)</f>
        <v>332173.83515313722</v>
      </c>
      <c r="AL94" s="43">
        <f>1+((2*PI()*AL93*(Parameters!$D$3/1000000)*Parameters!$C$3)^2)</f>
        <v>462518.45566722821</v>
      </c>
      <c r="AM94" s="43">
        <f>1+((2*PI()*AM93*(Parameters!$D$3/1000000)*Parameters!$C$3)^2)</f>
        <v>644010.30527104856</v>
      </c>
      <c r="AN94" s="43">
        <f>1+((2*PI()*AN93*(Parameters!$D$3/1000000)*Parameters!$C$3)^2)</f>
        <v>896719.55665940756</v>
      </c>
      <c r="AO94" s="43">
        <f>1+((2*PI()*AO93*(Parameters!$D$3/1000000)*Parameters!$C$3)^2)</f>
        <v>1248591.918292559</v>
      </c>
      <c r="AP94" s="43">
        <f>1+((2*PI()*AP93*(Parameters!$D$3/1000000)*Parameters!$C$3)^2)</f>
        <v>1738538.9946305586</v>
      </c>
      <c r="AQ94" s="43">
        <f>1+((2*PI()*AQ93*(Parameters!$D$3/1000000)*Parameters!$C$3)^2)</f>
        <v>2420741.3037235891</v>
      </c>
      <c r="AR94" s="43">
        <f>1+((2*PI()*AR93*(Parameters!$D$3/1000000)*Parameters!$C$3)^2)</f>
        <v>3370639.7989047267</v>
      </c>
      <c r="AS94" s="43">
        <f>1+((2*PI()*AS93*(Parameters!$D$3/1000000)*Parameters!$C$3)^2)</f>
        <v>4299200.677114523</v>
      </c>
    </row>
    <row r="95" spans="1:45" ht="14" thickTop="1" thickBot="1">
      <c r="A95" s="40"/>
      <c r="B95" s="42" t="s">
        <v>31</v>
      </c>
      <c r="C95" s="43">
        <f>(1+((('Valve Spec'!$D$5+1)*Parameters!$C$3)/('Valve Spec'!$E$5+(1/((1/Parameters!$B$3)+(1/Parameters!$G$3))))))^2</f>
        <v>2.9387755102040822</v>
      </c>
      <c r="D95" s="43">
        <f>(1+((('Valve Spec'!$D$5+1)*Parameters!$C$3)/('Valve Spec'!$E$5+(1/((1/Parameters!$B$3)+(1/Parameters!$G$3))))))^2</f>
        <v>2.9387755102040822</v>
      </c>
      <c r="E95" s="43">
        <f>(1+((('Valve Spec'!$D$5+1)*Parameters!$C$3)/('Valve Spec'!$E$5+(1/((1/Parameters!$B$3)+(1/Parameters!$G$3))))))^2</f>
        <v>2.9387755102040822</v>
      </c>
      <c r="F95" s="43">
        <f>(1+((('Valve Spec'!$D$5+1)*Parameters!$C$3)/('Valve Spec'!$E$5+(1/((1/Parameters!$B$3)+(1/Parameters!$G$3))))))^2</f>
        <v>2.9387755102040822</v>
      </c>
      <c r="G95" s="43">
        <f>(1+((('Valve Spec'!$D$5+1)*Parameters!$C$3)/('Valve Spec'!$E$5+(1/((1/Parameters!$B$3)+(1/Parameters!$G$3))))))^2</f>
        <v>2.9387755102040822</v>
      </c>
      <c r="H95" s="43">
        <f>(1+((('Valve Spec'!$D$5+1)*Parameters!$C$3)/('Valve Spec'!$E$5+(1/((1/Parameters!$B$3)+(1/Parameters!$G$3))))))^2</f>
        <v>2.9387755102040822</v>
      </c>
      <c r="I95" s="43">
        <f>(1+((('Valve Spec'!$D$5+1)*Parameters!$C$3)/('Valve Spec'!$E$5+(1/((1/Parameters!$B$3)+(1/Parameters!$G$3))))))^2</f>
        <v>2.9387755102040822</v>
      </c>
      <c r="J95" s="43">
        <f>(1+((('Valve Spec'!$D$5+1)*Parameters!$C$3)/('Valve Spec'!$E$5+(1/((1/Parameters!$B$3)+(1/Parameters!$G$3))))))^2</f>
        <v>2.9387755102040822</v>
      </c>
      <c r="K95" s="43">
        <f>(1+((('Valve Spec'!$D$5+1)*Parameters!$C$3)/('Valve Spec'!$E$5+(1/((1/Parameters!$B$3)+(1/Parameters!$G$3))))))^2</f>
        <v>2.9387755102040822</v>
      </c>
      <c r="L95" s="43">
        <f>(1+((('Valve Spec'!$D$5+1)*Parameters!$C$3)/('Valve Spec'!$E$5+(1/((1/Parameters!$B$3)+(1/Parameters!$G$3))))))^2</f>
        <v>2.9387755102040822</v>
      </c>
      <c r="M95" s="43">
        <f>(1+((('Valve Spec'!$D$5+1)*Parameters!$C$3)/('Valve Spec'!$E$5+(1/((1/Parameters!$B$3)+(1/Parameters!$G$3))))))^2</f>
        <v>2.9387755102040822</v>
      </c>
      <c r="N95" s="43">
        <f>(1+((('Valve Spec'!$D$5+1)*Parameters!$C$3)/('Valve Spec'!$E$5+(1/((1/Parameters!$B$3)+(1/Parameters!$G$3))))))^2</f>
        <v>2.9387755102040822</v>
      </c>
      <c r="O95" s="43">
        <f>(1+((('Valve Spec'!$D$5+1)*Parameters!$C$3)/('Valve Spec'!$E$5+(1/((1/Parameters!$B$3)+(1/Parameters!$G$3))))))^2</f>
        <v>2.9387755102040822</v>
      </c>
      <c r="P95" s="43">
        <f>(1+((('Valve Spec'!$D$5+1)*Parameters!$C$3)/('Valve Spec'!$E$5+(1/((1/Parameters!$B$3)+(1/Parameters!$G$3))))))^2</f>
        <v>2.9387755102040822</v>
      </c>
      <c r="Q95" s="43">
        <f>(1+((('Valve Spec'!$D$5+1)*Parameters!$C$3)/('Valve Spec'!$E$5+(1/((1/Parameters!$B$3)+(1/Parameters!$G$3))))))^2</f>
        <v>2.9387755102040822</v>
      </c>
      <c r="R95" s="43">
        <f>(1+((('Valve Spec'!$D$5+1)*Parameters!$C$3)/('Valve Spec'!$E$5+(1/((1/Parameters!$B$3)+(1/Parameters!$G$3))))))^2</f>
        <v>2.9387755102040822</v>
      </c>
      <c r="S95" s="43">
        <f>(1+((('Valve Spec'!$D$5+1)*Parameters!$C$3)/('Valve Spec'!$E$5+(1/((1/Parameters!$B$3)+(1/Parameters!$G$3))))))^2</f>
        <v>2.9387755102040822</v>
      </c>
      <c r="T95" s="43">
        <f>(1+((('Valve Spec'!$D$5+1)*Parameters!$C$3)/('Valve Spec'!$E$5+(1/((1/Parameters!$B$3)+(1/Parameters!$G$3))))))^2</f>
        <v>2.9387755102040822</v>
      </c>
      <c r="U95" s="43">
        <f>(1+((('Valve Spec'!$D$5+1)*Parameters!$C$3)/('Valve Spec'!$E$5+(1/((1/Parameters!$B$3)+(1/Parameters!$G$3))))))^2</f>
        <v>2.9387755102040822</v>
      </c>
      <c r="V95" s="43">
        <f>(1+((('Valve Spec'!$D$5+1)*Parameters!$C$3)/('Valve Spec'!$E$5+(1/((1/Parameters!$B$3)+(1/Parameters!$G$3))))))^2</f>
        <v>2.9387755102040822</v>
      </c>
      <c r="W95" s="43">
        <f>(1+((('Valve Spec'!$D$5+1)*Parameters!$C$3)/('Valve Spec'!$E$5+(1/((1/Parameters!$B$3)+(1/Parameters!$G$3))))))^2</f>
        <v>2.9387755102040822</v>
      </c>
      <c r="X95" s="43">
        <f>(1+((('Valve Spec'!$D$5+1)*Parameters!$C$3)/('Valve Spec'!$E$5+(1/((1/Parameters!$B$3)+(1/Parameters!$G$3))))))^2</f>
        <v>2.9387755102040822</v>
      </c>
      <c r="Y95" s="43">
        <f>(1+((('Valve Spec'!$D$5+1)*Parameters!$C$3)/('Valve Spec'!$E$5+(1/((1/Parameters!$B$3)+(1/Parameters!$G$3))))))^2</f>
        <v>2.9387755102040822</v>
      </c>
      <c r="Z95" s="43">
        <f>(1+((('Valve Spec'!$D$5+1)*Parameters!$C$3)/('Valve Spec'!$E$5+(1/((1/Parameters!$B$3)+(1/Parameters!$G$3))))))^2</f>
        <v>2.9387755102040822</v>
      </c>
      <c r="AA95" s="43">
        <f>(1+((('Valve Spec'!$D$5+1)*Parameters!$C$3)/('Valve Spec'!$E$5+(1/((1/Parameters!$B$3)+(1/Parameters!$G$3))))))^2</f>
        <v>2.9387755102040822</v>
      </c>
      <c r="AB95" s="43">
        <f>(1+((('Valve Spec'!$D$5+1)*Parameters!$C$3)/('Valve Spec'!$E$5+(1/((1/Parameters!$B$3)+(1/Parameters!$G$3))))))^2</f>
        <v>2.9387755102040822</v>
      </c>
      <c r="AC95" s="43">
        <f>(1+((('Valve Spec'!$D$5+1)*Parameters!$C$3)/('Valve Spec'!$E$5+(1/((1/Parameters!$B$3)+(1/Parameters!$G$3))))))^2</f>
        <v>2.9387755102040822</v>
      </c>
      <c r="AD95" s="43">
        <f>(1+((('Valve Spec'!$D$5+1)*Parameters!$C$3)/('Valve Spec'!$E$5+(1/((1/Parameters!$B$3)+(1/Parameters!$G$3))))))^2</f>
        <v>2.9387755102040822</v>
      </c>
      <c r="AE95" s="43">
        <f>(1+((('Valve Spec'!$D$5+1)*Parameters!$C$3)/('Valve Spec'!$E$5+(1/((1/Parameters!$B$3)+(1/Parameters!$G$3))))))^2</f>
        <v>2.9387755102040822</v>
      </c>
      <c r="AF95" s="43">
        <f>(1+((('Valve Spec'!$D$5+1)*Parameters!$C$3)/('Valve Spec'!$E$5+(1/((1/Parameters!$B$3)+(1/Parameters!$G$3))))))^2</f>
        <v>2.9387755102040822</v>
      </c>
      <c r="AG95" s="43">
        <f>(1+((('Valve Spec'!$D$5+1)*Parameters!$C$3)/('Valve Spec'!$E$5+(1/((1/Parameters!$B$3)+(1/Parameters!$G$3))))))^2</f>
        <v>2.9387755102040822</v>
      </c>
      <c r="AH95" s="43">
        <f>(1+((('Valve Spec'!$D$5+1)*Parameters!$C$3)/('Valve Spec'!$E$5+(1/((1/Parameters!$B$3)+(1/Parameters!$G$3))))))^2</f>
        <v>2.9387755102040822</v>
      </c>
      <c r="AI95" s="43">
        <f>(1+((('Valve Spec'!$D$5+1)*Parameters!$C$3)/('Valve Spec'!$E$5+(1/((1/Parameters!$B$3)+(1/Parameters!$G$3))))))^2</f>
        <v>2.9387755102040822</v>
      </c>
      <c r="AJ95" s="43">
        <f>(1+((('Valve Spec'!$D$5+1)*Parameters!$C$3)/('Valve Spec'!$E$5+(1/((1/Parameters!$B$3)+(1/Parameters!$G$3))))))^2</f>
        <v>2.9387755102040822</v>
      </c>
      <c r="AK95" s="43">
        <f>(1+((('Valve Spec'!$D$5+1)*Parameters!$C$3)/('Valve Spec'!$E$5+(1/((1/Parameters!$B$3)+(1/Parameters!$G$3))))))^2</f>
        <v>2.9387755102040822</v>
      </c>
      <c r="AL95" s="43">
        <f>(1+((('Valve Spec'!$D$5+1)*Parameters!$C$3)/('Valve Spec'!$E$5+(1/((1/Parameters!$B$3)+(1/Parameters!$G$3))))))^2</f>
        <v>2.9387755102040822</v>
      </c>
      <c r="AM95" s="43">
        <f>(1+((('Valve Spec'!$D$5+1)*Parameters!$C$3)/('Valve Spec'!$E$5+(1/((1/Parameters!$B$3)+(1/Parameters!$G$3))))))^2</f>
        <v>2.9387755102040822</v>
      </c>
      <c r="AN95" s="43">
        <f>(1+((('Valve Spec'!$D$5+1)*Parameters!$C$3)/('Valve Spec'!$E$5+(1/((1/Parameters!$B$3)+(1/Parameters!$G$3))))))^2</f>
        <v>2.9387755102040822</v>
      </c>
      <c r="AO95" s="43">
        <f>(1+((('Valve Spec'!$D$5+1)*Parameters!$C$3)/('Valve Spec'!$E$5+(1/((1/Parameters!$B$3)+(1/Parameters!$G$3))))))^2</f>
        <v>2.9387755102040822</v>
      </c>
      <c r="AP95" s="43">
        <f>(1+((('Valve Spec'!$D$5+1)*Parameters!$C$3)/('Valve Spec'!$E$5+(1/((1/Parameters!$B$3)+(1/Parameters!$G$3))))))^2</f>
        <v>2.9387755102040822</v>
      </c>
      <c r="AQ95" s="43">
        <f>(1+((('Valve Spec'!$D$5+1)*Parameters!$C$3)/('Valve Spec'!$E$5+(1/((1/Parameters!$B$3)+(1/Parameters!$G$3))))))^2</f>
        <v>2.9387755102040822</v>
      </c>
      <c r="AR95" s="43">
        <f>(1+((('Valve Spec'!$D$5+1)*Parameters!$C$3)/('Valve Spec'!$E$5+(1/((1/Parameters!$B$3)+(1/Parameters!$G$3))))))^2</f>
        <v>2.9387755102040822</v>
      </c>
      <c r="AS95" s="43">
        <f>(1+((('Valve Spec'!$D$5+1)*Parameters!$C$3)/('Valve Spec'!$E$5+(1/((1/Parameters!$B$3)+(1/Parameters!$G$3))))))^2</f>
        <v>2.9387755102040822</v>
      </c>
    </row>
    <row r="96" spans="1:45" ht="14" thickTop="1" thickBot="1">
      <c r="A96" s="40"/>
      <c r="B96" s="42" t="s">
        <v>33</v>
      </c>
      <c r="C96" s="43">
        <f>(2*PI()*C93*(Parameters!$D$3/1000000)*Parameters!$C$3)^2</f>
        <v>4.2991996771145251</v>
      </c>
      <c r="D96" s="43">
        <f>(2*PI()*D93*(Parameters!$D$3/1000000)*Parameters!$C$3)^2</f>
        <v>5.9862056304142612</v>
      </c>
      <c r="E96" s="43">
        <f>(2*PI()*E93*(Parameters!$D$3/1000000)*Parameters!$C$3)^2</f>
        <v>8.335192719788818</v>
      </c>
      <c r="F96" s="43">
        <f>(2*PI()*F93*(Parameters!$D$3/1000000)*Parameters!$C$3)^2</f>
        <v>11.605922343033949</v>
      </c>
      <c r="G96" s="43">
        <f>(2*PI()*G93*(Parameters!$D$3/1000000)*Parameters!$C$3)^2</f>
        <v>16.160086270440466</v>
      </c>
      <c r="H96" s="43">
        <f>(2*PI()*H93*(Parameters!$D$3/1000000)*Parameters!$C$3)^2</f>
        <v>22.501304122961301</v>
      </c>
      <c r="I96" s="43">
        <f>(2*PI()*I93*(Parameters!$D$3/1000000)*Parameters!$C$3)^2</f>
        <v>31.330815860811306</v>
      </c>
      <c r="J96" s="43">
        <f>(2*PI()*J93*(Parameters!$D$3/1000000)*Parameters!$C$3)^2</f>
        <v>43.625028004593673</v>
      </c>
      <c r="K96" s="43">
        <f>(2*PI()*K93*(Parameters!$D$3/1000000)*Parameters!$C$3)^2</f>
        <v>60.743488993596216</v>
      </c>
      <c r="L96" s="43">
        <f>(2*PI()*L93*(Parameters!$D$3/1000000)*Parameters!$C$3)^2</f>
        <v>84.57923407468337</v>
      </c>
      <c r="M96" s="43">
        <f>(2*PI()*M93*(Parameters!$D$3/1000000)*Parameters!$C$3)^2</f>
        <v>117.76812552558904</v>
      </c>
      <c r="N96" s="43">
        <f>(2*PI()*N93*(Parameters!$D$3/1000000)*Parameters!$C$3)^2</f>
        <v>163.98033798183019</v>
      </c>
      <c r="O96" s="43">
        <f>(2*PI()*O93*(Parameters!$D$3/1000000)*Parameters!$C$3)^2</f>
        <v>228.32622260590031</v>
      </c>
      <c r="P96" s="43">
        <f>(2*PI()*P93*(Parameters!$D$3/1000000)*Parameters!$C$3)^2</f>
        <v>317.92143235645563</v>
      </c>
      <c r="Q96" s="43">
        <f>(2*PI()*Q93*(Parameters!$D$3/1000000)*Parameters!$C$3)^2</f>
        <v>442.67380241312867</v>
      </c>
      <c r="R96" s="43">
        <f>(2*PI()*R93*(Parameters!$D$3/1000000)*Parameters!$C$3)^2</f>
        <v>616.37900248004019</v>
      </c>
      <c r="S96" s="43">
        <f>(2*PI()*S93*(Parameters!$D$3/1000000)*Parameters!$C$3)^2</f>
        <v>858.24612305320841</v>
      </c>
      <c r="T96" s="43">
        <f>(2*PI()*T93*(Parameters!$D$3/1000000)*Parameters!$C$3)^2</f>
        <v>1195.0219017392872</v>
      </c>
      <c r="U96" s="43">
        <f>(2*PI()*U93*(Parameters!$D$3/1000000)*Parameters!$C$3)^2</f>
        <v>1663.948495981783</v>
      </c>
      <c r="V96" s="43">
        <f>(2*PI()*V93*(Parameters!$D$3/1000000)*Parameters!$C$3)^2</f>
        <v>2316.8818858050349</v>
      </c>
      <c r="W96" s="43">
        <f>(2*PI()*W93*(Parameters!$D$3/1000000)*Parameters!$C$3)^2</f>
        <v>3226.0263377949309</v>
      </c>
      <c r="X96" s="43">
        <f>(2*PI()*X93*(Parameters!$D$3/1000000)*Parameters!$C$3)^2</f>
        <v>4491.9190727456598</v>
      </c>
      <c r="Y96" s="43">
        <f>(2*PI()*Y93*(Parameters!$D$3/1000000)*Parameters!$C$3)^2</f>
        <v>6254.5481168910574</v>
      </c>
      <c r="Z96" s="43">
        <f>(2*PI()*Z93*(Parameters!$D$3/1000000)*Parameters!$C$3)^2</f>
        <v>8708.8327979591068</v>
      </c>
      <c r="AA96" s="43">
        <f>(2*PI()*AA93*(Parameters!$D$3/1000000)*Parameters!$C$3)^2</f>
        <v>12126.17878787826</v>
      </c>
      <c r="AB96" s="43">
        <f>(2*PI()*AB93*(Parameters!$D$3/1000000)*Parameters!$C$3)^2</f>
        <v>16884.491344241695</v>
      </c>
      <c r="AC96" s="43">
        <f>(2*PI()*AC93*(Parameters!$D$3/1000000)*Parameters!$C$3)^2</f>
        <v>23509.965747722134</v>
      </c>
      <c r="AD96" s="43">
        <f>(2*PI()*AD93*(Parameters!$D$3/1000000)*Parameters!$C$3)^2</f>
        <v>32735.27630712829</v>
      </c>
      <c r="AE96" s="43">
        <f>(2*PI()*AE93*(Parameters!$D$3/1000000)*Parameters!$C$3)^2</f>
        <v>45580.598730045422</v>
      </c>
      <c r="AF96" s="43">
        <f>(2*PI()*AF93*(Parameters!$D$3/1000000)*Parameters!$C$3)^2</f>
        <v>63466.425671715253</v>
      </c>
      <c r="AG96" s="43">
        <f>(2*PI()*AG93*(Parameters!$D$3/1000000)*Parameters!$C$3)^2</f>
        <v>88370.651105296289</v>
      </c>
      <c r="AH96" s="43">
        <f>(2*PI()*AH93*(Parameters!$D$3/1000000)*Parameters!$C$3)^2</f>
        <v>123047.29459901452</v>
      </c>
      <c r="AI96" s="43">
        <f>(2*PI()*AI93*(Parameters!$D$3/1000000)*Parameters!$C$3)^2</f>
        <v>171331.05299966782</v>
      </c>
      <c r="AJ96" s="43">
        <f>(2*PI()*AJ93*(Parameters!$D$3/1000000)*Parameters!$C$3)^2</f>
        <v>238561.35819673745</v>
      </c>
      <c r="AK96" s="43">
        <f>(2*PI()*AK93*(Parameters!$D$3/1000000)*Parameters!$C$3)^2</f>
        <v>332172.83515313722</v>
      </c>
      <c r="AL96" s="43">
        <f>(2*PI()*AL93*(Parameters!$D$3/1000000)*Parameters!$C$3)^2</f>
        <v>462517.45566722821</v>
      </c>
      <c r="AM96" s="43">
        <f>(2*PI()*AM93*(Parameters!$D$3/1000000)*Parameters!$C$3)^2</f>
        <v>644009.30527104856</v>
      </c>
      <c r="AN96" s="43">
        <f>(2*PI()*AN93*(Parameters!$D$3/1000000)*Parameters!$C$3)^2</f>
        <v>896718.55665940756</v>
      </c>
      <c r="AO96" s="43">
        <f>(2*PI()*AO93*(Parameters!$D$3/1000000)*Parameters!$C$3)^2</f>
        <v>1248590.918292559</v>
      </c>
      <c r="AP96" s="43">
        <f>(2*PI()*AP93*(Parameters!$D$3/1000000)*Parameters!$C$3)^2</f>
        <v>1738537.9946305586</v>
      </c>
      <c r="AQ96" s="43">
        <f>(2*PI()*AQ93*(Parameters!$D$3/1000000)*Parameters!$C$3)^2</f>
        <v>2420740.3037235891</v>
      </c>
      <c r="AR96" s="43">
        <f>(2*PI()*AR93*(Parameters!$D$3/1000000)*Parameters!$C$3)^2</f>
        <v>3370638.7989047267</v>
      </c>
      <c r="AS96" s="43">
        <f>(2*PI()*AS93*(Parameters!$D$3/1000000)*Parameters!$C$3)^2</f>
        <v>4299199.677114523</v>
      </c>
    </row>
    <row r="97" spans="1:45" ht="14" thickTop="1" thickBot="1">
      <c r="A97" s="40"/>
      <c r="B97" s="42" t="s">
        <v>35</v>
      </c>
      <c r="C97" s="43">
        <f t="shared" ref="C97:AS97" si="19">(C94/(C95+C96))^0.5</f>
        <v>0.85565087179329569</v>
      </c>
      <c r="D97" s="43">
        <f t="shared" si="19"/>
        <v>0.88474278292012398</v>
      </c>
      <c r="E97" s="43">
        <f t="shared" si="19"/>
        <v>0.90996196685286501</v>
      </c>
      <c r="F97" s="43">
        <f t="shared" si="19"/>
        <v>0.93096844692999436</v>
      </c>
      <c r="G97" s="43">
        <f t="shared" si="19"/>
        <v>0.94788574173284978</v>
      </c>
      <c r="H97" s="43">
        <f t="shared" si="19"/>
        <v>0.96114021317333675</v>
      </c>
      <c r="I97" s="43">
        <f t="shared" si="19"/>
        <v>0.971301074244728</v>
      </c>
      <c r="J97" s="43">
        <f t="shared" si="19"/>
        <v>0.97896017991640394</v>
      </c>
      <c r="K97" s="43">
        <f t="shared" si="19"/>
        <v>0.98466008718941822</v>
      </c>
      <c r="L97" s="43">
        <f t="shared" si="19"/>
        <v>0.98886152983476261</v>
      </c>
      <c r="M97" s="43">
        <f t="shared" si="19"/>
        <v>0.99193656813544417</v>
      </c>
      <c r="N97" s="43">
        <f t="shared" si="19"/>
        <v>0.9941755076689639</v>
      </c>
      <c r="O97" s="43">
        <f t="shared" si="19"/>
        <v>0.99579950272050954</v>
      </c>
      <c r="P97" s="43">
        <f t="shared" si="19"/>
        <v>0.99697420703229633</v>
      </c>
      <c r="Q97" s="43">
        <f t="shared" si="19"/>
        <v>0.99782222381369334</v>
      </c>
      <c r="R97" s="43">
        <f t="shared" si="19"/>
        <v>0.99843352209967584</v>
      </c>
      <c r="S97" s="43">
        <f t="shared" si="19"/>
        <v>0.99887372158457088</v>
      </c>
      <c r="T97" s="43">
        <f t="shared" si="19"/>
        <v>0.99919047402415995</v>
      </c>
      <c r="U97" s="43">
        <f t="shared" si="19"/>
        <v>0.99941827512141468</v>
      </c>
      <c r="V97" s="43">
        <f t="shared" si="19"/>
        <v>0.99958204080346447</v>
      </c>
      <c r="W97" s="43">
        <f t="shared" si="19"/>
        <v>0.99969973868476292</v>
      </c>
      <c r="X97" s="43">
        <f t="shared" si="19"/>
        <v>0.99978431079639363</v>
      </c>
      <c r="Y97" s="43">
        <f t="shared" si="19"/>
        <v>0.99984507153263458</v>
      </c>
      <c r="Z97" s="43">
        <f t="shared" si="19"/>
        <v>0.9998887204873973</v>
      </c>
      <c r="AA97" s="43">
        <f t="shared" si="19"/>
        <v>0.99992007444144126</v>
      </c>
      <c r="AB97" s="43">
        <f t="shared" si="19"/>
        <v>0.99994259543502673</v>
      </c>
      <c r="AC97" s="43">
        <f t="shared" si="19"/>
        <v>0.99995877124674748</v>
      </c>
      <c r="AD97" s="43">
        <f t="shared" si="19"/>
        <v>0.99997038928038684</v>
      </c>
      <c r="AE97" s="43">
        <f t="shared" si="19"/>
        <v>0.99997873359296008</v>
      </c>
      <c r="AF97" s="43">
        <f t="shared" si="19"/>
        <v>0.99998472656585513</v>
      </c>
      <c r="AG97" s="43">
        <f t="shared" si="19"/>
        <v>0.99998903073788026</v>
      </c>
      <c r="AH97" s="43">
        <f t="shared" si="19"/>
        <v>0.99999212198508725</v>
      </c>
      <c r="AI97" s="43">
        <f t="shared" si="19"/>
        <v>0.99999434210055216</v>
      </c>
      <c r="AJ97" s="43">
        <f t="shared" si="19"/>
        <v>0.9999959365683091</v>
      </c>
      <c r="AK97" s="43">
        <f t="shared" si="19"/>
        <v>0.99999708169816814</v>
      </c>
      <c r="AL97" s="43">
        <f t="shared" si="19"/>
        <v>0.99999790411669931</v>
      </c>
      <c r="AM97" s="43">
        <f t="shared" si="19"/>
        <v>0.99999849476699609</v>
      </c>
      <c r="AN97" s="43">
        <f t="shared" si="19"/>
        <v>0.99999891896393245</v>
      </c>
      <c r="AO97" s="43">
        <f t="shared" si="19"/>
        <v>0.99999922361612947</v>
      </c>
      <c r="AP97" s="43">
        <f t="shared" si="19"/>
        <v>0.99999944241288385</v>
      </c>
      <c r="AQ97" s="43">
        <f t="shared" si="19"/>
        <v>0.99999959954945572</v>
      </c>
      <c r="AR97" s="43">
        <f t="shared" si="19"/>
        <v>0.99999971240257202</v>
      </c>
      <c r="AS97" s="43">
        <f t="shared" si="19"/>
        <v>0.99999977451914901</v>
      </c>
    </row>
    <row r="98" spans="1:45" ht="14" thickTop="1" thickBot="1">
      <c r="A98" s="40"/>
      <c r="B98" s="42" t="s">
        <v>44</v>
      </c>
      <c r="C98" s="43">
        <f>Parameters!$G$3/((((Parameters!$G$3+((Parameters!$K$16+Parameters!$G$16)/2))^2)+((1/(2*PI()*C93*(Parameters!$H$3/1000000000)))^2))^0.5)</f>
        <v>0.28878592393288599</v>
      </c>
      <c r="D98" s="43">
        <f>Parameters!$G$3/((((Parameters!$G$3+((Parameters!$K$16+Parameters!$G$16)/2))^2)+((1/(2*PI()*D93*(Parameters!$H$3/1000000000)))^2))^0.5)</f>
        <v>0.3343845954713594</v>
      </c>
      <c r="E98" s="43">
        <f>Parameters!$G$3/((((Parameters!$G$3+((Parameters!$K$16+Parameters!$G$16)/2))^2)+((1/(2*PI()*E93*(Parameters!$H$3/1000000000)))^2))^0.5)</f>
        <v>0.38475829183730459</v>
      </c>
      <c r="F98" s="43">
        <f>Parameters!$G$3/((((Parameters!$G$3+((Parameters!$K$16+Parameters!$G$16)/2))^2)+((1/(2*PI()*F93*(Parameters!$H$3/1000000000)))^2))^0.5)</f>
        <v>0.43923834531090927</v>
      </c>
      <c r="G98" s="43">
        <f>Parameters!$G$3/((((Parameters!$G$3+((Parameters!$K$16+Parameters!$G$16)/2))^2)+((1/(2*PI()*G93*(Parameters!$H$3/1000000000)))^2))^0.5)</f>
        <v>0.49663403859101352</v>
      </c>
      <c r="H98" s="43">
        <f>Parameters!$G$3/((((Parameters!$G$3+((Parameters!$K$16+Parameters!$G$16)/2))^2)+((1/(2*PI()*H93*(Parameters!$H$3/1000000000)))^2))^0.5)</f>
        <v>0.55523798530896429</v>
      </c>
      <c r="I98" s="43">
        <f>Parameters!$G$3/((((Parameters!$G$3+((Parameters!$K$16+Parameters!$G$16)/2))^2)+((1/(2*PI()*I93*(Parameters!$H$3/1000000000)))^2))^0.5)</f>
        <v>0.61296912711753204</v>
      </c>
      <c r="J98" s="43">
        <f>Parameters!$G$3/((((Parameters!$G$3+((Parameters!$K$16+Parameters!$G$16)/2))^2)+((1/(2*PI()*J93*(Parameters!$H$3/1000000000)))^2))^0.5)</f>
        <v>0.66765715229340206</v>
      </c>
      <c r="K98" s="43">
        <f>Parameters!$G$3/((((Parameters!$G$3+((Parameters!$K$16+Parameters!$G$16)/2))^2)+((1/(2*PI()*K93*(Parameters!$H$3/1000000000)))^2))^0.5)</f>
        <v>0.71739972418061504</v>
      </c>
      <c r="L98" s="43">
        <f>Parameters!$G$3/((((Parameters!$G$3+((Parameters!$K$16+Parameters!$G$16)/2))^2)+((1/(2*PI()*L93*(Parameters!$H$3/1000000000)))^2))^0.5)</f>
        <v>0.76086996296598497</v>
      </c>
      <c r="M98" s="43">
        <f>Parameters!$G$3/((((Parameters!$G$3+((Parameters!$K$16+Parameters!$G$16)/2))^2)+((1/(2*PI()*M93*(Parameters!$H$3/1000000000)))^2))^0.5)</f>
        <v>0.79746495740787393</v>
      </c>
      <c r="N98" s="43">
        <f>Parameters!$G$3/((((Parameters!$G$3+((Parameters!$K$16+Parameters!$G$16)/2))^2)+((1/(2*PI()*N93*(Parameters!$H$3/1000000000)))^2))^0.5)</f>
        <v>0.82726418950787861</v>
      </c>
      <c r="O98" s="43">
        <f>Parameters!$G$3/((((Parameters!$G$3+((Parameters!$K$16+Parameters!$G$16)/2))^2)+((1/(2*PI()*O93*(Parameters!$H$3/1000000000)))^2))^0.5)</f>
        <v>0.85085184160628524</v>
      </c>
      <c r="P98" s="43">
        <f>Parameters!$G$3/((((Parameters!$G$3+((Parameters!$K$16+Parameters!$G$16)/2))^2)+((1/(2*PI()*P93*(Parameters!$H$3/1000000000)))^2))^0.5)</f>
        <v>0.869093858818212</v>
      </c>
      <c r="Q98" s="43">
        <f>Parameters!$G$3/((((Parameters!$G$3+((Parameters!$K$16+Parameters!$G$16)/2))^2)+((1/(2*PI()*Q93*(Parameters!$H$3/1000000000)))^2))^0.5)</f>
        <v>0.88294348823259095</v>
      </c>
      <c r="R98" s="43">
        <f>Parameters!$G$3/((((Parameters!$G$3+((Parameters!$K$16+Parameters!$G$16)/2))^2)+((1/(2*PI()*R93*(Parameters!$H$3/1000000000)))^2))^0.5)</f>
        <v>0.89330880826328096</v>
      </c>
      <c r="S98" s="43">
        <f>Parameters!$G$3/((((Parameters!$G$3+((Parameters!$K$16+Parameters!$G$16)/2))^2)+((1/(2*PI()*S93*(Parameters!$H$3/1000000000)))^2))^0.5)</f>
        <v>0.90098237375834522</v>
      </c>
      <c r="T98" s="43">
        <f>Parameters!$G$3/((((Parameters!$G$3+((Parameters!$K$16+Parameters!$G$16)/2))^2)+((1/(2*PI()*T93*(Parameters!$H$3/1000000000)))^2))^0.5)</f>
        <v>0.9066170432266778</v>
      </c>
      <c r="U98" s="43">
        <f>Parameters!$G$3/((((Parameters!$G$3+((Parameters!$K$16+Parameters!$G$16)/2))^2)+((1/(2*PI()*U93*(Parameters!$H$3/1000000000)))^2))^0.5)</f>
        <v>0.9107296310628572</v>
      </c>
      <c r="V98" s="43">
        <f>Parameters!$G$3/((((Parameters!$G$3+((Parameters!$K$16+Parameters!$G$16)/2))^2)+((1/(2*PI()*V93*(Parameters!$H$3/1000000000)))^2))^0.5)</f>
        <v>0.91371799958715438</v>
      </c>
      <c r="W98" s="43">
        <f>Parameters!$G$3/((((Parameters!$G$3+((Parameters!$K$16+Parameters!$G$16)/2))^2)+((1/(2*PI()*W93*(Parameters!$H$3/1000000000)))^2))^0.5)</f>
        <v>0.91588244090958826</v>
      </c>
      <c r="X98" s="43">
        <f>Parameters!$G$3/((((Parameters!$G$3+((Parameters!$K$16+Parameters!$G$16)/2))^2)+((1/(2*PI()*X93*(Parameters!$H$3/1000000000)))^2))^0.5)</f>
        <v>0.91744643372160506</v>
      </c>
      <c r="Y98" s="43">
        <f>Parameters!$G$3/((((Parameters!$G$3+((Parameters!$K$16+Parameters!$G$16)/2))^2)+((1/(2*PI()*Y93*(Parameters!$H$3/1000000000)))^2))^0.5)</f>
        <v>0.91857462537220425</v>
      </c>
      <c r="Z98" s="43">
        <f>Parameters!$G$3/((((Parameters!$G$3+((Parameters!$K$16+Parameters!$G$16)/2))^2)+((1/(2*PI()*Z93*(Parameters!$H$3/1000000000)))^2))^0.5)</f>
        <v>0.91938744781462589</v>
      </c>
      <c r="AA98" s="43">
        <f>Parameters!$G$3/((((Parameters!$G$3+((Parameters!$K$16+Parameters!$G$16)/2))^2)+((1/(2*PI()*AA93*(Parameters!$H$3/1000000000)))^2))^0.5)</f>
        <v>0.91997253733611384</v>
      </c>
      <c r="AB98" s="43">
        <f>Parameters!$G$3/((((Parameters!$G$3+((Parameters!$K$16+Parameters!$G$16)/2))^2)+((1/(2*PI()*AB93*(Parameters!$H$3/1000000000)))^2))^0.5)</f>
        <v>0.92039342938887325</v>
      </c>
      <c r="AC98" s="43">
        <f>Parameters!$G$3/((((Parameters!$G$3+((Parameters!$K$16+Parameters!$G$16)/2))^2)+((1/(2*PI()*AC93*(Parameters!$H$3/1000000000)))^2))^0.5)</f>
        <v>0.92069606417876204</v>
      </c>
      <c r="AD98" s="43">
        <f>Parameters!$G$3/((((Parameters!$G$3+((Parameters!$K$16+Parameters!$G$16)/2))^2)+((1/(2*PI()*AD93*(Parameters!$H$3/1000000000)))^2))^0.5)</f>
        <v>0.92091359605344325</v>
      </c>
      <c r="AE98" s="43">
        <f>Parameters!$G$3/((((Parameters!$G$3+((Parameters!$K$16+Parameters!$G$16)/2))^2)+((1/(2*PI()*AE93*(Parameters!$H$3/1000000000)))^2))^0.5)</f>
        <v>0.92106991922520653</v>
      </c>
      <c r="AF98" s="43">
        <f>Parameters!$G$3/((((Parameters!$G$3+((Parameters!$K$16+Parameters!$G$16)/2))^2)+((1/(2*PI()*AF93*(Parameters!$H$3/1000000000)))^2))^0.5)</f>
        <v>0.92118223722215087</v>
      </c>
      <c r="AG98" s="43">
        <f>Parameters!$G$3/((((Parameters!$G$3+((Parameters!$K$16+Parameters!$G$16)/2))^2)+((1/(2*PI()*AG93*(Parameters!$H$3/1000000000)))^2))^0.5)</f>
        <v>0.92126292761493878</v>
      </c>
      <c r="AH98" s="43">
        <f>Parameters!$G$3/((((Parameters!$G$3+((Parameters!$K$16+Parameters!$G$16)/2))^2)+((1/(2*PI()*AH93*(Parameters!$H$3/1000000000)))^2))^0.5)</f>
        <v>0.92132089128305639</v>
      </c>
      <c r="AI98" s="43">
        <f>Parameters!$G$3/((((Parameters!$G$3+((Parameters!$K$16+Parameters!$G$16)/2))^2)+((1/(2*PI()*AI93*(Parameters!$H$3/1000000000)))^2))^0.5)</f>
        <v>0.92136252663797258</v>
      </c>
      <c r="AJ98" s="43">
        <f>Parameters!$G$3/((((Parameters!$G$3+((Parameters!$K$16+Parameters!$G$16)/2))^2)+((1/(2*PI()*AJ93*(Parameters!$H$3/1000000000)))^2))^0.5)</f>
        <v>0.92139243198449838</v>
      </c>
      <c r="AK98" s="43">
        <f>Parameters!$G$3/((((Parameters!$G$3+((Parameters!$K$16+Parameters!$G$16)/2))^2)+((1/(2*PI()*AK93*(Parameters!$H$3/1000000000)))^2))^0.5)</f>
        <v>0.92141391133548189</v>
      </c>
      <c r="AL98" s="43">
        <f>Parameters!$G$3/((((Parameters!$G$3+((Parameters!$K$16+Parameters!$G$16)/2))^2)+((1/(2*PI()*AL93*(Parameters!$H$3/1000000000)))^2))^0.5)</f>
        <v>0.92142933839777119</v>
      </c>
      <c r="AM98" s="43">
        <f>Parameters!$G$3/((((Parameters!$G$3+((Parameters!$K$16+Parameters!$G$16)/2))^2)+((1/(2*PI()*AM93*(Parameters!$H$3/1000000000)))^2))^0.5)</f>
        <v>0.92144041835180557</v>
      </c>
      <c r="AN98" s="43">
        <f>Parameters!$G$3/((((Parameters!$G$3+((Parameters!$K$16+Parameters!$G$16)/2))^2)+((1/(2*PI()*AN93*(Parameters!$H$3/1000000000)))^2))^0.5)</f>
        <v>0.92144837604889018</v>
      </c>
      <c r="AO98" s="43">
        <f>Parameters!$G$3/((((Parameters!$G$3+((Parameters!$K$16+Parameters!$G$16)/2))^2)+((1/(2*PI()*AO93*(Parameters!$H$3/1000000000)))^2))^0.5)</f>
        <v>0.92145409127023981</v>
      </c>
      <c r="AP98" s="43">
        <f>Parameters!$G$3/((((Parameters!$G$3+((Parameters!$K$16+Parameters!$G$16)/2))^2)+((1/(2*PI()*AP93*(Parameters!$H$3/1000000000)))^2))^0.5)</f>
        <v>0.92145819591883982</v>
      </c>
      <c r="AQ98" s="43">
        <f>Parameters!$G$3/((((Parameters!$G$3+((Parameters!$K$16+Parameters!$G$16)/2))^2)+((1/(2*PI()*AQ93*(Parameters!$H$3/1000000000)))^2))^0.5)</f>
        <v>0.92146114384739775</v>
      </c>
      <c r="AR98" s="43">
        <f>Parameters!$G$3/((((Parameters!$G$3+((Parameters!$K$16+Parameters!$G$16)/2))^2)+((1/(2*PI()*AR93*(Parameters!$H$3/1000000000)))^2))^0.5)</f>
        <v>0.92146326102124454</v>
      </c>
      <c r="AS98" s="43">
        <f>Parameters!$G$3/((((Parameters!$G$3+((Parameters!$K$16+Parameters!$G$16)/2))^2)+((1/(2*PI()*AS93*(Parameters!$H$3/1000000000)))^2))^0.5)</f>
        <v>0.92146442636112236</v>
      </c>
    </row>
    <row r="99" spans="1:45" ht="14" thickTop="1" thickBot="1">
      <c r="A99" s="40"/>
      <c r="B99" s="42" t="s">
        <v>46</v>
      </c>
      <c r="C99" s="43">
        <f>(((1/(2*PI()*C93*(Parameters!$H$16/1000000000000)))^2)/((Parameters!$E$3^2)+((1/(2*PI()*C93*(Parameters!$H$16/1000000000000)))^2)))^0.5</f>
        <v>0.99998087798331337</v>
      </c>
      <c r="D99" s="43">
        <f>(((1/(2*PI()*D93*(Parameters!$H$16/1000000000000)))^2)/((Parameters!$E$3^2)+((1/(2*PI()*D93*(Parameters!$H$16/1000000000000)))^2)))^0.5</f>
        <v>0.99997337480363557</v>
      </c>
      <c r="E99" s="43">
        <f>(((1/(2*PI()*E93*(Parameters!$H$16/1000000000000)))^2)/((Parameters!$E$3^2)+((1/(2*PI()*E93*(Parameters!$H$16/1000000000000)))^2)))^0.5</f>
        <v>0.99996292765755868</v>
      </c>
      <c r="F99" s="43">
        <f>(((1/(2*PI()*F93*(Parameters!$H$16/1000000000000)))^2)/((Parameters!$E$3^2)+((1/(2*PI()*F93*(Parameters!$H$16/1000000000000)))^2)))^0.5</f>
        <v>0.99994838159672184</v>
      </c>
      <c r="G99" s="43">
        <f>(((1/(2*PI()*G93*(Parameters!$H$16/1000000000000)))^2)/((Parameters!$E$3^2)+((1/(2*PI()*G93*(Parameters!$H$16/1000000000000)))^2)))^0.5</f>
        <v>0.99992812871886638</v>
      </c>
      <c r="H99" s="43">
        <f>(((1/(2*PI()*H93*(Parameters!$H$16/1000000000000)))^2)/((Parameters!$E$3^2)+((1/(2*PI()*H93*(Parameters!$H$16/1000000000000)))^2)))^0.5</f>
        <v>0.99989993066130523</v>
      </c>
      <c r="I99" s="43">
        <f>(((1/(2*PI()*I93*(Parameters!$H$16/1000000000000)))^2)/((Parameters!$E$3^2)+((1/(2*PI()*I93*(Parameters!$H$16/1000000000000)))^2)))^0.5</f>
        <v>0.99986067165902648</v>
      </c>
      <c r="J99" s="43">
        <f>(((1/(2*PI()*J93*(Parameters!$H$16/1000000000000)))^2)/((Parameters!$E$3^2)+((1/(2*PI()*J93*(Parameters!$H$16/1000000000000)))^2)))^0.5</f>
        <v>0.99980601512558454</v>
      </c>
      <c r="K99" s="43">
        <f>(((1/(2*PI()*K93*(Parameters!$H$16/1000000000000)))^2)/((Parameters!$E$3^2)+((1/(2*PI()*K93*(Parameters!$H$16/1000000000000)))^2)))^0.5</f>
        <v>0.99972992629535873</v>
      </c>
      <c r="L99" s="43">
        <f>(((1/(2*PI()*L93*(Parameters!$H$16/1000000000000)))^2)/((Parameters!$E$3^2)+((1/(2*PI()*L93*(Parameters!$H$16/1000000000000)))^2)))^0.5</f>
        <v>0.99962400913675298</v>
      </c>
      <c r="M99" s="43">
        <f>(((1/(2*PI()*M93*(Parameters!$H$16/1000000000000)))^2)/((Parameters!$E$3^2)+((1/(2*PI()*M93*(Parameters!$H$16/1000000000000)))^2)))^0.5</f>
        <v>0.99947658614044144</v>
      </c>
      <c r="N99" s="43">
        <f>(((1/(2*PI()*N93*(Parameters!$H$16/1000000000000)))^2)/((Parameters!$E$3^2)+((1/(2*PI()*N93*(Parameters!$H$16/1000000000000)))^2)))^0.5</f>
        <v>0.99927142295614668</v>
      </c>
      <c r="O99" s="43">
        <f>(((1/(2*PI()*O93*(Parameters!$H$16/1000000000000)))^2)/((Parameters!$E$3^2)+((1/(2*PI()*O93*(Parameters!$H$16/1000000000000)))^2)))^0.5</f>
        <v>0.99898596405746498</v>
      </c>
      <c r="P99" s="43">
        <f>(((1/(2*PI()*P93*(Parameters!$H$16/1000000000000)))^2)/((Parameters!$E$3^2)+((1/(2*PI()*P93*(Parameters!$H$16/1000000000000)))^2)))^0.5</f>
        <v>0.99858889824557007</v>
      </c>
      <c r="Q99" s="43">
        <f>(((1/(2*PI()*Q93*(Parameters!$H$16/1000000000000)))^2)/((Parameters!$E$3^2)+((1/(2*PI()*Q93*(Parameters!$H$16/1000000000000)))^2)))^0.5</f>
        <v>0.99803681157431579</v>
      </c>
      <c r="R99" s="43">
        <f>(((1/(2*PI()*R93*(Parameters!$H$16/1000000000000)))^2)/((Parameters!$E$3^2)+((1/(2*PI()*R93*(Parameters!$H$16/1000000000000)))^2)))^0.5</f>
        <v>0.99726960902391459</v>
      </c>
      <c r="S99" s="43">
        <f>(((1/(2*PI()*S93*(Parameters!$H$16/1000000000000)))^2)/((Parameters!$E$3^2)+((1/(2*PI()*S93*(Parameters!$H$16/1000000000000)))^2)))^0.5</f>
        <v>0.99620429707436875</v>
      </c>
      <c r="T99" s="43">
        <f>(((1/(2*PI()*T93*(Parameters!$H$16/1000000000000)))^2)/((Parameters!$E$3^2)+((1/(2*PI()*T93*(Parameters!$H$16/1000000000000)))^2)))^0.5</f>
        <v>0.99472662694661573</v>
      </c>
      <c r="U99" s="43">
        <f>(((1/(2*PI()*U93*(Parameters!$H$16/1000000000000)))^2)/((Parameters!$E$3^2)+((1/(2*PI()*U93*(Parameters!$H$16/1000000000000)))^2)))^0.5</f>
        <v>0.99268002817915812</v>
      </c>
      <c r="V99" s="43">
        <f>(((1/(2*PI()*V93*(Parameters!$H$16/1000000000000)))^2)/((Parameters!$E$3^2)+((1/(2*PI()*V93*(Parameters!$H$16/1000000000000)))^2)))^0.5</f>
        <v>0.98985127006303497</v>
      </c>
      <c r="W99" s="43">
        <f>(((1/(2*PI()*W93*(Parameters!$H$16/1000000000000)))^2)/((Parameters!$E$3^2)+((1/(2*PI()*W93*(Parameters!$H$16/1000000000000)))^2)))^0.5</f>
        <v>0.98595248336660501</v>
      </c>
      <c r="X99" s="43">
        <f>(((1/(2*PI()*X93*(Parameters!$H$16/1000000000000)))^2)/((Parameters!$E$3^2)+((1/(2*PI()*X93*(Parameters!$H$16/1000000000000)))^2)))^0.5</f>
        <v>0.98059975163151547</v>
      </c>
      <c r="Y99" s="43">
        <f>(((1/(2*PI()*Y93*(Parameters!$H$16/1000000000000)))^2)/((Parameters!$E$3^2)+((1/(2*PI()*Y93*(Parameters!$H$16/1000000000000)))^2)))^0.5</f>
        <v>0.97328975274549934</v>
      </c>
      <c r="Z99" s="43">
        <f>(((1/(2*PI()*Z93*(Parameters!$H$16/1000000000000)))^2)/((Parameters!$E$3^2)+((1/(2*PI()*Z93*(Parameters!$H$16/1000000000000)))^2)))^0.5</f>
        <v>0.96337832284205382</v>
      </c>
      <c r="AA99" s="43">
        <f>(((1/(2*PI()*AA93*(Parameters!$H$16/1000000000000)))^2)/((Parameters!$E$3^2)+((1/(2*PI()*AA93*(Parameters!$H$16/1000000000000)))^2)))^0.5</f>
        <v>0.95006872852120161</v>
      </c>
      <c r="AB99" s="43">
        <f>(((1/(2*PI()*AB93*(Parameters!$H$16/1000000000000)))^2)/((Parameters!$E$3^2)+((1/(2*PI()*AB93*(Parameters!$H$16/1000000000000)))^2)))^0.5</f>
        <v>0.9324228092882888</v>
      </c>
      <c r="AC99" s="43">
        <f>(((1/(2*PI()*AC93*(Parameters!$H$16/1000000000000)))^2)/((Parameters!$E$3^2)+((1/(2*PI()*AC93*(Parameters!$H$16/1000000000000)))^2)))^0.5</f>
        <v>0.90941352710260825</v>
      </c>
      <c r="AD99" s="43">
        <f>(((1/(2*PI()*AD93*(Parameters!$H$16/1000000000000)))^2)/((Parameters!$E$3^2)+((1/(2*PI()*AD93*(Parameters!$H$16/1000000000000)))^2)))^0.5</f>
        <v>0.88003867051588658</v>
      </c>
      <c r="AE99" s="43">
        <f>(((1/(2*PI()*AE93*(Parameters!$H$16/1000000000000)))^2)/((Parameters!$E$3^2)+((1/(2*PI()*AE93*(Parameters!$H$16/1000000000000)))^2)))^0.5</f>
        <v>0.84350525469060533</v>
      </c>
      <c r="AF99" s="43">
        <f>(((1/(2*PI()*AF93*(Parameters!$H$16/1000000000000)))^2)/((Parameters!$E$3^2)+((1/(2*PI()*AF93*(Parameters!$H$16/1000000000000)))^2)))^0.5</f>
        <v>0.79946569955244862</v>
      </c>
      <c r="AG99" s="43">
        <f>(((1/(2*PI()*AG93*(Parameters!$H$16/1000000000000)))^2)/((Parameters!$E$3^2)+((1/(2*PI()*AG93*(Parameters!$H$16/1000000000000)))^2)))^0.5</f>
        <v>0.74824354737127552</v>
      </c>
      <c r="AH99" s="43">
        <f>(((1/(2*PI()*AH93*(Parameters!$H$16/1000000000000)))^2)/((Parameters!$E$3^2)+((1/(2*PI()*AH93*(Parameters!$H$16/1000000000000)))^2)))^0.5</f>
        <v>0.69095235838915914</v>
      </c>
      <c r="AI99" s="43">
        <f>(((1/(2*PI()*AI93*(Parameters!$H$16/1000000000000)))^2)/((Parameters!$E$3^2)+((1/(2*PI()*AI93*(Parameters!$H$16/1000000000000)))^2)))^0.5</f>
        <v>0.62942408214996426</v>
      </c>
      <c r="AJ99" s="43">
        <f>(((1/(2*PI()*AJ93*(Parameters!$H$16/1000000000000)))^2)/((Parameters!$E$3^2)+((1/(2*PI()*AJ93*(Parameters!$H$16/1000000000000)))^2)))^0.5</f>
        <v>0.56593799607485384</v>
      </c>
      <c r="AK99" s="43">
        <f>(((1/(2*PI()*AK93*(Parameters!$H$16/1000000000000)))^2)/((Parameters!$E$3^2)+((1/(2*PI()*AK93*(Parameters!$H$16/1000000000000)))^2)))^0.5</f>
        <v>0.50283854988034105</v>
      </c>
      <c r="AL99" s="43">
        <f>(((1/(2*PI()*AL93*(Parameters!$H$16/1000000000000)))^2)/((Parameters!$E$3^2)+((1/(2*PI()*AL93*(Parameters!$H$16/1000000000000)))^2)))^0.5</f>
        <v>0.44217946849770656</v>
      </c>
      <c r="AM99" s="43">
        <f>(((1/(2*PI()*AM93*(Parameters!$H$16/1000000000000)))^2)/((Parameters!$E$3^2)+((1/(2*PI()*AM93*(Parameters!$H$16/1000000000000)))^2)))^0.5</f>
        <v>0.38549961495508028</v>
      </c>
      <c r="AN99" s="43">
        <f>(((1/(2*PI()*AN93*(Parameters!$H$16/1000000000000)))^2)/((Parameters!$E$3^2)+((1/(2*PI()*AN93*(Parameters!$H$16/1000000000000)))^2)))^0.5</f>
        <v>0.33375833796876569</v>
      </c>
      <c r="AO99" s="43">
        <f>(((1/(2*PI()*AO93*(Parameters!$H$16/1000000000000)))^2)/((Parameters!$E$3^2)+((1/(2*PI()*AO93*(Parameters!$H$16/1000000000000)))^2)))^0.5</f>
        <v>0.28739304705634755</v>
      </c>
      <c r="AP99" s="43">
        <f>(((1/(2*PI()*AP93*(Parameters!$H$16/1000000000000)))^2)/((Parameters!$E$3^2)+((1/(2*PI()*AP93*(Parameters!$H$16/1000000000000)))^2)))^0.5</f>
        <v>0.24643842755434051</v>
      </c>
      <c r="AQ99" s="43">
        <f>(((1/(2*PI()*AQ93*(Parameters!$H$16/1000000000000)))^2)/((Parameters!$E$3^2)+((1/(2*PI()*AQ93*(Parameters!$H$16/1000000000000)))^2)))^0.5</f>
        <v>0.21065661974519906</v>
      </c>
      <c r="AR99" s="43">
        <f>(((1/(2*PI()*AR93*(Parameters!$H$16/1000000000000)))^2)/((Parameters!$E$3^2)+((1/(2*PI()*AR93*(Parameters!$H$16/1000000000000)))^2)))^0.5</f>
        <v>0.17964943291561639</v>
      </c>
      <c r="AS99" s="43">
        <f>(((1/(2*PI()*AS93*(Parameters!$H$16/1000000000000)))^2)/((Parameters!$E$3^2)+((1/(2*PI()*AS93*(Parameters!$H$16/1000000000000)))^2)))^0.5</f>
        <v>0.15962727946882188</v>
      </c>
    </row>
    <row r="100" spans="1:45" ht="14" thickTop="1" thickBot="1">
      <c r="A100" s="40"/>
      <c r="B100" s="42" t="s">
        <v>36</v>
      </c>
      <c r="C100" s="43">
        <f>Parameters!$E$16*C97*C98*C99</f>
        <v>7.8515019710162868</v>
      </c>
      <c r="D100" s="43">
        <f>Parameters!$E$16*D97*D98*D99</f>
        <v>9.4002663231379398</v>
      </c>
      <c r="E100" s="43">
        <f>Parameters!$E$16*E97*E98*E99</f>
        <v>11.124578340592889</v>
      </c>
      <c r="F100" s="43">
        <f>Parameters!$E$16*F97*F98*F99</f>
        <v>12.992754158377849</v>
      </c>
      <c r="G100" s="43">
        <f>Parameters!$E$16*G97*G98*G99</f>
        <v>14.957178925028042</v>
      </c>
      <c r="H100" s="43">
        <f>Parameters!$E$16*H97*H98*H99</f>
        <v>16.95551114515327</v>
      </c>
      <c r="I100" s="43">
        <f>Parameters!$E$16*I97*I98*I99</f>
        <v>18.915611570413599</v>
      </c>
      <c r="J100" s="43">
        <f>Parameters!$E$16*J97*J98*J99</f>
        <v>20.764558833591039</v>
      </c>
      <c r="K100" s="43">
        <f>Parameters!$E$16*K97*K98*K99</f>
        <v>22.439783521518898</v>
      </c>
      <c r="L100" s="43">
        <f>Parameters!$E$16*L97*L98*L99</f>
        <v>23.898521316417192</v>
      </c>
      <c r="M100" s="43">
        <f>Parameters!$E$16*M97*M98*M99</f>
        <v>25.12213612436862</v>
      </c>
      <c r="N100" s="43">
        <f>Parameters!$E$16*N97*N98*N99</f>
        <v>26.11434775076653</v>
      </c>
      <c r="O100" s="43">
        <f>Parameters!$E$16*O97*O98*O99</f>
        <v>26.895131076617492</v>
      </c>
      <c r="P100" s="43">
        <f>Parameters!$E$16*P97*P98*P99</f>
        <v>27.493230170110944</v>
      </c>
      <c r="Q100" s="43">
        <f>Parameters!$E$16*Q97*Q98*Q99</f>
        <v>27.939657057623517</v>
      </c>
      <c r="R100" s="43">
        <f>Parameters!$E$16*R97*R98*R99</f>
        <v>28.263229512658739</v>
      </c>
      <c r="S100" s="43">
        <f>Parameters!$E$16*S97*S98*S99</f>
        <v>28.488115664943759</v>
      </c>
      <c r="T100" s="43">
        <f>Parameters!$E$16*T97*T98*T99</f>
        <v>28.632834160546199</v>
      </c>
      <c r="U100" s="43">
        <f>Parameters!$E$16*U97*U98*U99</f>
        <v>28.710084343044851</v>
      </c>
      <c r="V100" s="43">
        <f>Parameters!$E$16*V97*V98*V99</f>
        <v>28.726915718756832</v>
      </c>
      <c r="W100" s="43">
        <f>Parameters!$E$16*W97*W98*W99</f>
        <v>28.68492556814391</v>
      </c>
      <c r="X100" s="43">
        <f>Parameters!$E$16*X97*X98*X99</f>
        <v>28.580330301778755</v>
      </c>
      <c r="Y100" s="43">
        <f>Parameters!$E$16*Y97*Y98*Y99</f>
        <v>28.403884375689394</v>
      </c>
      <c r="Z100" s="43">
        <f>Parameters!$E$16*Z97*Z98*Z99</f>
        <v>28.140741703291312</v>
      </c>
      <c r="AA100" s="43">
        <f>Parameters!$E$16*AA97*AA98*AA99</f>
        <v>27.770493957640152</v>
      </c>
      <c r="AB100" s="43">
        <f>Parameters!$E$16*AB97*AB98*AB99</f>
        <v>27.267787313419099</v>
      </c>
      <c r="AC100" s="43">
        <f>Parameters!$E$16*AC97*AC98*AC99</f>
        <v>26.604078540029782</v>
      </c>
      <c r="AD100" s="43">
        <f>Parameters!$E$16*AD97*AD98*AD99</f>
        <v>25.751125279109395</v>
      </c>
      <c r="AE100" s="43">
        <f>Parameters!$E$16*AE97*AE98*AE99</f>
        <v>24.686503707067693</v>
      </c>
      <c r="AF100" s="43">
        <f>Parameters!$E$16*AF97*AF98*AF99</f>
        <v>23.400610497894363</v>
      </c>
      <c r="AG100" s="43">
        <f>Parameters!$E$16*AG97*AG98*AG99</f>
        <v>21.903334829387237</v>
      </c>
      <c r="AH100" s="43">
        <f>Parameters!$E$16*AH97*AH98*AH99</f>
        <v>20.227584858368939</v>
      </c>
      <c r="AI100" s="43">
        <f>Parameters!$E$16*AI97*AI98*AI99</f>
        <v>18.427222232012781</v>
      </c>
      <c r="AJ100" s="43">
        <f>Parameters!$E$16*AJ97*AJ98*AJ99</f>
        <v>16.569147318466616</v>
      </c>
      <c r="AK100" s="43">
        <f>Parameters!$E$16*AK97*AK98*AK99</f>
        <v>14.722124745534748</v>
      </c>
      <c r="AL100" s="43">
        <f>Parameters!$E$16*AL97*AL98*AL99</f>
        <v>12.946373430041522</v>
      </c>
      <c r="AM100" s="43">
        <f>Parameters!$E$16*AM97*AM98*AM99</f>
        <v>11.287011924235829</v>
      </c>
      <c r="AN100" s="43">
        <f>Parameters!$E$16*AN97*AN98*AN99</f>
        <v>9.77217181517406</v>
      </c>
      <c r="AO100" s="43">
        <f>Parameters!$E$16*AO97*AO98*AO99</f>
        <v>8.4146886824431792</v>
      </c>
      <c r="AP100" s="43">
        <f>Parameters!$E$16*AP97*AP98*AP99</f>
        <v>7.2155967571296147</v>
      </c>
      <c r="AQ100" s="43">
        <f>Parameters!$E$16*AQ97*AQ98*AQ99</f>
        <v>6.1679436079107903</v>
      </c>
      <c r="AR100" s="43">
        <f>Parameters!$E$16*AR97*AR98*AR99</f>
        <v>5.2600779587745423</v>
      </c>
      <c r="AS100" s="43">
        <f>Parameters!$E$16*AS97*AS98*AS99</f>
        <v>4.6738419084242206</v>
      </c>
    </row>
    <row r="101" spans="1:45" ht="14" thickTop="1" thickBot="1">
      <c r="A101" s="40"/>
      <c r="B101" s="42" t="s">
        <v>37</v>
      </c>
      <c r="C101" s="43">
        <f t="shared" ref="C101:AS101" si="20">(LOG10(C100))*20</f>
        <v>17.899054880966151</v>
      </c>
      <c r="D101" s="43">
        <f t="shared" si="20"/>
        <v>19.46280315929344</v>
      </c>
      <c r="E101" s="43">
        <f t="shared" si="20"/>
        <v>20.925671174498977</v>
      </c>
      <c r="F101" s="43">
        <f t="shared" si="20"/>
        <v>22.274024421002693</v>
      </c>
      <c r="G101" s="43">
        <f t="shared" si="20"/>
        <v>23.496993778554817</v>
      </c>
      <c r="H101" s="43">
        <f t="shared" si="20"/>
        <v>24.586217733268168</v>
      </c>
      <c r="I101" s="43">
        <f t="shared" si="20"/>
        <v>25.536407745102061</v>
      </c>
      <c r="J101" s="43">
        <f t="shared" si="20"/>
        <v>26.34645416938282</v>
      </c>
      <c r="K101" s="43">
        <f t="shared" si="20"/>
        <v>27.020373258577948</v>
      </c>
      <c r="L101" s="43">
        <f t="shared" si="20"/>
        <v>27.567420609768483</v>
      </c>
      <c r="M101" s="43">
        <f t="shared" si="20"/>
        <v>28.001131290143594</v>
      </c>
      <c r="N101" s="43">
        <f t="shared" si="20"/>
        <v>28.337583661641034</v>
      </c>
      <c r="O101" s="43">
        <f t="shared" si="20"/>
        <v>28.593473304175809</v>
      </c>
      <c r="P101" s="43">
        <f t="shared" si="20"/>
        <v>28.784515358994994</v>
      </c>
      <c r="Q101" s="43">
        <f t="shared" si="20"/>
        <v>28.924421422180458</v>
      </c>
      <c r="R101" s="43">
        <f t="shared" si="20"/>
        <v>29.024435704668189</v>
      </c>
      <c r="S101" s="43">
        <f t="shared" si="20"/>
        <v>29.093274479081352</v>
      </c>
      <c r="T101" s="43">
        <f t="shared" si="20"/>
        <v>29.137286757405064</v>
      </c>
      <c r="U101" s="43">
        <f t="shared" si="20"/>
        <v>29.160689366938243</v>
      </c>
      <c r="V101" s="43">
        <f t="shared" si="20"/>
        <v>29.165780004538348</v>
      </c>
      <c r="W101" s="43">
        <f t="shared" si="20"/>
        <v>29.153074546188044</v>
      </c>
      <c r="X101" s="43">
        <f t="shared" si="20"/>
        <v>29.121344872171775</v>
      </c>
      <c r="Y101" s="43">
        <f t="shared" si="20"/>
        <v>29.067554721766037</v>
      </c>
      <c r="Z101" s="43">
        <f t="shared" si="20"/>
        <v>28.986710798294062</v>
      </c>
      <c r="AA101" s="43">
        <f t="shared" si="20"/>
        <v>28.871672093506788</v>
      </c>
      <c r="AB101" s="43">
        <f t="shared" si="20"/>
        <v>28.712997957541507</v>
      </c>
      <c r="AC101" s="43">
        <f t="shared" si="20"/>
        <v>28.498964425590174</v>
      </c>
      <c r="AD101" s="43">
        <f t="shared" si="20"/>
        <v>28.21592423401405</v>
      </c>
      <c r="AE101" s="43">
        <f t="shared" si="20"/>
        <v>27.8491917231038</v>
      </c>
      <c r="AF101" s="43">
        <f t="shared" si="20"/>
        <v>27.384543757098708</v>
      </c>
      <c r="AG101" s="43">
        <f t="shared" si="20"/>
        <v>26.8102048426856</v>
      </c>
      <c r="AH101" s="43">
        <f t="shared" si="20"/>
        <v>26.118880635842828</v>
      </c>
      <c r="AI101" s="43">
        <f t="shared" si="20"/>
        <v>25.309197469188931</v>
      </c>
      <c r="AJ101" s="43">
        <f t="shared" si="20"/>
        <v>24.38600318659654</v>
      </c>
      <c r="AK101" s="43">
        <f t="shared" si="20"/>
        <v>23.359409866700425</v>
      </c>
      <c r="AL101" s="43">
        <f t="shared" si="20"/>
        <v>22.242962596303791</v>
      </c>
      <c r="AM101" s="43">
        <f t="shared" si="20"/>
        <v>21.051579677161584</v>
      </c>
      <c r="AN101" s="43">
        <f t="shared" si="20"/>
        <v>19.799821883436955</v>
      </c>
      <c r="AO101" s="43">
        <f t="shared" si="20"/>
        <v>18.500761061024559</v>
      </c>
      <c r="AP101" s="43">
        <f t="shared" si="20"/>
        <v>17.165445094206429</v>
      </c>
      <c r="AQ101" s="43">
        <f t="shared" si="20"/>
        <v>15.802807888130634</v>
      </c>
      <c r="AR101" s="43">
        <f t="shared" si="20"/>
        <v>14.419843616210535</v>
      </c>
      <c r="AS101" s="43">
        <f t="shared" si="20"/>
        <v>13.393480367969868</v>
      </c>
    </row>
    <row r="102" spans="1:45" ht="13" thickTop="1">
      <c r="A102" s="40"/>
      <c r="B102" s="37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</row>
    <row r="103" spans="1:45" ht="15">
      <c r="A103" s="118"/>
      <c r="B103" s="119"/>
      <c r="C103" s="118"/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20"/>
      <c r="T103" s="120"/>
      <c r="U103" s="120"/>
      <c r="V103" s="120"/>
      <c r="W103" s="120"/>
      <c r="X103" s="120"/>
      <c r="Y103" s="120"/>
      <c r="Z103" s="121" t="s">
        <v>60</v>
      </c>
      <c r="AA103" s="121"/>
      <c r="AB103" s="118"/>
      <c r="AC103" s="118"/>
      <c r="AD103" s="121" t="s">
        <v>54</v>
      </c>
      <c r="AE103" s="122"/>
      <c r="AF103" s="120"/>
      <c r="AG103" s="120"/>
      <c r="AH103" s="120"/>
      <c r="AI103" s="120"/>
      <c r="AJ103" s="118"/>
      <c r="AK103" s="118"/>
      <c r="AL103" s="118"/>
      <c r="AM103" s="118"/>
      <c r="AN103" s="118"/>
      <c r="AO103" s="118"/>
      <c r="AP103" s="118"/>
      <c r="AQ103" s="118"/>
      <c r="AR103" s="118"/>
      <c r="AS103" s="118"/>
    </row>
    <row r="104" spans="1:45" ht="15">
      <c r="A104" s="121" t="s">
        <v>13</v>
      </c>
      <c r="B104" s="118"/>
      <c r="C104" s="118"/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 t="s">
        <v>57</v>
      </c>
      <c r="AA104" s="118" t="s">
        <v>58</v>
      </c>
      <c r="AB104" s="118" t="s">
        <v>59</v>
      </c>
      <c r="AC104" s="118" t="s">
        <v>53</v>
      </c>
      <c r="AD104" s="118" t="s">
        <v>55</v>
      </c>
      <c r="AE104" s="118" t="s">
        <v>56</v>
      </c>
      <c r="AF104" s="118"/>
      <c r="AG104" s="118"/>
      <c r="AH104" s="118"/>
      <c r="AI104" s="118"/>
      <c r="AJ104" s="118"/>
      <c r="AK104" s="118"/>
      <c r="AL104" s="118"/>
      <c r="AM104" s="118"/>
      <c r="AN104" s="118"/>
      <c r="AO104" s="118"/>
      <c r="AP104" s="118"/>
      <c r="AQ104" s="118"/>
      <c r="AR104" s="118"/>
      <c r="AS104" s="118"/>
    </row>
    <row r="105" spans="1:45">
      <c r="A105" s="123" t="s">
        <v>3</v>
      </c>
      <c r="B105" s="123" t="s">
        <v>0</v>
      </c>
      <c r="C105" s="118">
        <v>0</v>
      </c>
      <c r="D105" s="118">
        <v>1</v>
      </c>
      <c r="E105" s="118">
        <v>2</v>
      </c>
      <c r="F105" s="118">
        <v>3</v>
      </c>
      <c r="G105" s="118">
        <v>4.1100000000000003</v>
      </c>
      <c r="H105" s="118">
        <v>5.42</v>
      </c>
      <c r="I105" s="118">
        <v>6.6</v>
      </c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>
        <f t="array" ref="Z105:AB105">LINEST(C105:I105, C$3:I$3^{1;2})</f>
        <v>5.0857142857142773E-5</v>
      </c>
      <c r="AA105" s="118">
        <v>3.6299999999999999E-2</v>
      </c>
      <c r="AB105" s="118">
        <v>2.57142857142863E-2</v>
      </c>
      <c r="AC105" s="118">
        <f>AB105-AD105</f>
        <v>2.57142857142863E-2</v>
      </c>
      <c r="AD105" s="118">
        <f>0/Parameters!$C$3*1000</f>
        <v>0</v>
      </c>
      <c r="AE105" s="118">
        <v>0</v>
      </c>
      <c r="AF105" s="118"/>
      <c r="AG105" s="118"/>
      <c r="AH105" s="118"/>
      <c r="AI105" s="118"/>
      <c r="AJ105" s="118"/>
      <c r="AK105" s="118"/>
      <c r="AL105" s="118"/>
      <c r="AM105" s="118"/>
      <c r="AN105" s="118"/>
      <c r="AO105" s="118"/>
      <c r="AP105" s="118"/>
      <c r="AQ105" s="118"/>
      <c r="AR105" s="118"/>
      <c r="AS105" s="118"/>
    </row>
    <row r="106" spans="1:45">
      <c r="A106" s="118"/>
      <c r="B106" s="119">
        <v>-1</v>
      </c>
      <c r="C106" s="118">
        <v>0</v>
      </c>
      <c r="D106" s="118">
        <v>0.2</v>
      </c>
      <c r="E106" s="118">
        <v>0.7</v>
      </c>
      <c r="F106" s="118">
        <v>1.37</v>
      </c>
      <c r="G106" s="118">
        <v>2.21</v>
      </c>
      <c r="H106" s="118">
        <v>3.2</v>
      </c>
      <c r="I106" s="118">
        <v>4.4000000000000004</v>
      </c>
      <c r="J106" s="118">
        <v>5.6</v>
      </c>
      <c r="K106" s="118">
        <v>6.8</v>
      </c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>
        <f t="array" ref="Z106:AB106">LINEST(C106:K106, C$3:K$3^{1;2})</f>
        <v>1.1828571428571431E-4</v>
      </c>
      <c r="AA106" s="118">
        <v>1.1429523809523815E-2</v>
      </c>
      <c r="AB106" s="118">
        <v>-9.8666666666667124E-2</v>
      </c>
      <c r="AC106" s="118">
        <f t="shared" ref="AC106:AC117" si="21">AB106-AD106</f>
        <v>-0.76533333333333375</v>
      </c>
      <c r="AD106" s="118">
        <f>-B106/Parameters!$C$3*1000</f>
        <v>0.66666666666666663</v>
      </c>
      <c r="AE106" s="118">
        <f t="shared" ref="AE106:AE111" si="22">(-AA106+(AA106^2-4*Z106*AC106)^0.5)/(2*Z106)</f>
        <v>45.518426989743865</v>
      </c>
      <c r="AF106" s="118"/>
      <c r="AG106" s="118"/>
      <c r="AH106" s="118"/>
      <c r="AI106" s="118"/>
      <c r="AJ106" s="118"/>
      <c r="AK106" s="118"/>
      <c r="AL106" s="118"/>
      <c r="AM106" s="118"/>
      <c r="AN106" s="118"/>
      <c r="AO106" s="118"/>
      <c r="AP106" s="118"/>
      <c r="AQ106" s="118"/>
      <c r="AR106" s="118"/>
      <c r="AS106" s="118"/>
    </row>
    <row r="107" spans="1:45">
      <c r="A107" s="118"/>
      <c r="B107" s="119">
        <v>-2</v>
      </c>
      <c r="C107" s="118"/>
      <c r="D107" s="118"/>
      <c r="E107" s="118">
        <v>0</v>
      </c>
      <c r="F107" s="118">
        <v>0.28000000000000003</v>
      </c>
      <c r="G107" s="118">
        <v>0.8</v>
      </c>
      <c r="H107" s="118">
        <v>1.49</v>
      </c>
      <c r="I107" s="118">
        <v>2.4</v>
      </c>
      <c r="J107" s="118">
        <v>3.5</v>
      </c>
      <c r="K107" s="118">
        <v>4.6500000000000004</v>
      </c>
      <c r="L107" s="118">
        <v>5.9</v>
      </c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>
        <f t="array" ref="Z107:AB107">LINEST(E107:L107, E3:L3^{1;2})</f>
        <v>1.2780139720797919E-4</v>
      </c>
      <c r="AA107" s="118">
        <v>-9.9454619586314646E-4</v>
      </c>
      <c r="AB107" s="118">
        <v>-0.32913368993249525</v>
      </c>
      <c r="AC107" s="118">
        <f t="shared" si="21"/>
        <v>-1.6624670232658285</v>
      </c>
      <c r="AD107" s="118">
        <f>-B107/Parameters!$C$3*1000</f>
        <v>1.3333333333333333</v>
      </c>
      <c r="AE107" s="118">
        <f t="shared" si="22"/>
        <v>118.01086190212028</v>
      </c>
      <c r="AF107" s="118"/>
      <c r="AG107" s="118"/>
      <c r="AH107" s="118"/>
      <c r="AI107" s="118"/>
      <c r="AJ107" s="118"/>
      <c r="AK107" s="118"/>
      <c r="AL107" s="118"/>
      <c r="AM107" s="118"/>
      <c r="AN107" s="118"/>
      <c r="AO107" s="118"/>
      <c r="AP107" s="118"/>
      <c r="AQ107" s="118"/>
      <c r="AR107" s="118"/>
      <c r="AS107" s="118"/>
    </row>
    <row r="108" spans="1:45">
      <c r="A108" s="118"/>
      <c r="B108" s="119">
        <v>-3</v>
      </c>
      <c r="C108" s="118"/>
      <c r="D108" s="118"/>
      <c r="E108" s="118"/>
      <c r="F108" s="118">
        <v>0</v>
      </c>
      <c r="G108" s="118">
        <v>0.12</v>
      </c>
      <c r="H108" s="118">
        <v>0.45</v>
      </c>
      <c r="I108" s="118">
        <v>0.93</v>
      </c>
      <c r="J108" s="118">
        <v>1.65</v>
      </c>
      <c r="K108" s="118">
        <v>2.65</v>
      </c>
      <c r="L108" s="118">
        <v>3.76</v>
      </c>
      <c r="M108" s="118">
        <v>4.8499999999999996</v>
      </c>
      <c r="N108" s="118">
        <v>6.1</v>
      </c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>
        <f t="array" ref="Z108:AB108">LINEST(F108:N108, F$3:N$3^{1;2})</f>
        <v>1.3593147199923914E-4</v>
      </c>
      <c r="AA108" s="118">
        <v>-1.6352292277235468E-2</v>
      </c>
      <c r="AB108" s="118">
        <v>0.40576168140759172</v>
      </c>
      <c r="AC108" s="118">
        <f t="shared" si="21"/>
        <v>-1.5942383185924083</v>
      </c>
      <c r="AD108" s="118">
        <f>-B108/Parameters!$C$3*1000</f>
        <v>2</v>
      </c>
      <c r="AE108" s="118">
        <f t="shared" si="22"/>
        <v>184.02863249613614</v>
      </c>
      <c r="AF108" s="118"/>
      <c r="AG108" s="118"/>
      <c r="AH108" s="118"/>
      <c r="AI108" s="118"/>
      <c r="AJ108" s="118"/>
      <c r="AK108" s="118"/>
      <c r="AL108" s="118"/>
      <c r="AM108" s="118"/>
      <c r="AN108" s="118"/>
      <c r="AO108" s="118"/>
      <c r="AP108" s="118"/>
      <c r="AQ108" s="118"/>
      <c r="AR108" s="118"/>
      <c r="AS108" s="118"/>
    </row>
    <row r="109" spans="1:45">
      <c r="A109" s="118"/>
      <c r="B109" s="119">
        <v>-4</v>
      </c>
      <c r="C109" s="118"/>
      <c r="D109" s="118"/>
      <c r="E109" s="118"/>
      <c r="F109" s="118"/>
      <c r="G109" s="118">
        <v>0</v>
      </c>
      <c r="H109" s="118">
        <v>0.05</v>
      </c>
      <c r="I109" s="118">
        <v>0.25</v>
      </c>
      <c r="J109" s="118">
        <v>0.6</v>
      </c>
      <c r="K109" s="118">
        <v>1.18</v>
      </c>
      <c r="L109" s="118">
        <v>1.98</v>
      </c>
      <c r="M109" s="118">
        <v>2.97</v>
      </c>
      <c r="N109" s="118">
        <v>4.03</v>
      </c>
      <c r="O109" s="118">
        <v>5.16</v>
      </c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118">
        <f t="array" ref="Z109:AB109">LINEST(G109:O109, G$3:O$3^{1;2})</f>
        <v>1.3928844869606901E-4</v>
      </c>
      <c r="AA109" s="118">
        <v>-2.9473691680947794E-2</v>
      </c>
      <c r="AB109" s="118">
        <v>1.5409768231933523</v>
      </c>
      <c r="AC109" s="118">
        <f t="shared" si="21"/>
        <v>-1.1256898434733142</v>
      </c>
      <c r="AD109" s="118">
        <f>-B109/Parameters!$C$3*1000</f>
        <v>2.6666666666666665</v>
      </c>
      <c r="AE109" s="118">
        <f t="shared" si="22"/>
        <v>244.63733882821319</v>
      </c>
      <c r="AF109" s="118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118"/>
      <c r="AQ109" s="118"/>
      <c r="AR109" s="118"/>
      <c r="AS109" s="118"/>
    </row>
    <row r="110" spans="1:45">
      <c r="A110" s="118"/>
      <c r="B110" s="119">
        <v>-5</v>
      </c>
      <c r="C110" s="118"/>
      <c r="D110" s="118"/>
      <c r="E110" s="118"/>
      <c r="F110" s="118"/>
      <c r="G110" s="118"/>
      <c r="H110" s="118"/>
      <c r="I110" s="118">
        <v>0</v>
      </c>
      <c r="J110" s="118">
        <v>0.01</v>
      </c>
      <c r="K110" s="118">
        <v>0.31</v>
      </c>
      <c r="L110" s="118">
        <v>0.76</v>
      </c>
      <c r="M110" s="118">
        <v>1.45</v>
      </c>
      <c r="N110" s="118">
        <v>2.2999999999999998</v>
      </c>
      <c r="O110" s="118">
        <v>3.2</v>
      </c>
      <c r="P110" s="118">
        <v>4.2</v>
      </c>
      <c r="Q110" s="118"/>
      <c r="R110" s="118"/>
      <c r="S110" s="118"/>
      <c r="T110" s="118"/>
      <c r="U110" s="118"/>
      <c r="V110" s="118"/>
      <c r="W110" s="118"/>
      <c r="X110" s="118"/>
      <c r="Y110" s="118"/>
      <c r="Z110" s="118">
        <f t="array" ref="Z110:AB110">LINEST(I110:P110, I$3:P$3^{1;2})</f>
        <v>1.3192158592658981E-4</v>
      </c>
      <c r="AA110" s="118">
        <v>-3.7887594189149651E-2</v>
      </c>
      <c r="AB110" s="118">
        <v>2.6500109028616423</v>
      </c>
      <c r="AC110" s="118">
        <f t="shared" si="21"/>
        <v>-0.68332243047169117</v>
      </c>
      <c r="AD110" s="118">
        <f>-B110/Parameters!$C$3*1000</f>
        <v>3.3333333333333335</v>
      </c>
      <c r="AE110" s="118">
        <f t="shared" si="22"/>
        <v>304.22398386382866</v>
      </c>
      <c r="AF110" s="118"/>
      <c r="AG110" s="118"/>
      <c r="AH110" s="118"/>
      <c r="AI110" s="118"/>
      <c r="AJ110" s="118"/>
      <c r="AK110" s="118"/>
      <c r="AL110" s="118"/>
      <c r="AM110" s="118"/>
      <c r="AN110" s="118"/>
      <c r="AO110" s="118"/>
      <c r="AP110" s="118"/>
      <c r="AQ110" s="118"/>
      <c r="AR110" s="118"/>
      <c r="AS110" s="118"/>
    </row>
    <row r="111" spans="1:45">
      <c r="A111" s="118"/>
      <c r="B111" s="119">
        <v>-6</v>
      </c>
      <c r="C111" s="118"/>
      <c r="D111" s="118"/>
      <c r="E111" s="118"/>
      <c r="F111" s="118"/>
      <c r="G111" s="118"/>
      <c r="H111" s="118"/>
      <c r="I111" s="118"/>
      <c r="J111" s="118">
        <v>0</v>
      </c>
      <c r="K111" s="118">
        <v>0.05</v>
      </c>
      <c r="L111" s="118">
        <v>0.2</v>
      </c>
      <c r="M111" s="118">
        <v>0.53</v>
      </c>
      <c r="N111" s="118">
        <v>1.1000000000000001</v>
      </c>
      <c r="O111" s="118">
        <v>1.79</v>
      </c>
      <c r="P111" s="118">
        <v>2.6</v>
      </c>
      <c r="Q111" s="118">
        <v>3.5</v>
      </c>
      <c r="R111" s="118"/>
      <c r="S111" s="118"/>
      <c r="T111" s="118"/>
      <c r="U111" s="118"/>
      <c r="V111" s="118"/>
      <c r="W111" s="118"/>
      <c r="X111" s="118"/>
      <c r="Y111" s="118"/>
      <c r="Z111" s="118">
        <f t="array" ref="Z111:AB111">LINEST(J111:Q111, J$3:Q$3^{1;2})</f>
        <v>1.2449030422128268E-4</v>
      </c>
      <c r="AA111" s="118">
        <v>-4.5060585633531686E-2</v>
      </c>
      <c r="AB111" s="118">
        <v>4.0614840566206301</v>
      </c>
      <c r="AC111" s="118">
        <f t="shared" si="21"/>
        <v>6.1484056620630056E-2</v>
      </c>
      <c r="AD111" s="118">
        <f>-B111/Parameters!$C$3*1000</f>
        <v>4</v>
      </c>
      <c r="AE111" s="118">
        <f t="shared" si="22"/>
        <v>360.59094530654022</v>
      </c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118"/>
      <c r="AR111" s="118"/>
      <c r="AS111" s="118"/>
    </row>
    <row r="112" spans="1:45">
      <c r="A112" s="118"/>
      <c r="B112" s="119">
        <v>-7</v>
      </c>
      <c r="C112" s="118"/>
      <c r="D112" s="118"/>
      <c r="E112" s="118"/>
      <c r="F112" s="118"/>
      <c r="G112" s="118"/>
      <c r="H112" s="118"/>
      <c r="I112" s="118"/>
      <c r="J112" s="118"/>
      <c r="K112" s="118">
        <v>0</v>
      </c>
      <c r="L112" s="118">
        <v>0.02</v>
      </c>
      <c r="M112" s="118">
        <v>0.1</v>
      </c>
      <c r="N112" s="118">
        <v>0.39</v>
      </c>
      <c r="O112" s="118">
        <v>0.8</v>
      </c>
      <c r="P112" s="118">
        <v>1.37</v>
      </c>
      <c r="Q112" s="118">
        <v>2.1</v>
      </c>
      <c r="R112" s="118">
        <v>3</v>
      </c>
      <c r="S112" s="118"/>
      <c r="T112" s="118"/>
      <c r="U112" s="118"/>
      <c r="V112" s="118"/>
      <c r="W112" s="118"/>
      <c r="X112" s="118"/>
      <c r="Y112" s="118"/>
      <c r="Z112" s="118">
        <f t="array" ref="Z112:AB112">LINEST(K112:R112, K3:R3^{1;2})</f>
        <v>1.2144082792878302E-4</v>
      </c>
      <c r="AA112" s="118">
        <v>-5.2860270154140965E-2</v>
      </c>
      <c r="AB112" s="118">
        <v>5.7332422871786122</v>
      </c>
      <c r="AC112" s="118">
        <f t="shared" si="21"/>
        <v>1.0665756205119452</v>
      </c>
      <c r="AD112" s="118">
        <f>-B112/Parameters!$C$3*1000</f>
        <v>4.666666666666667</v>
      </c>
      <c r="AE112" s="118">
        <f t="shared" ref="AE112:AE117" si="23">(-AA112+(AA112^2-4*Z112*AC112)^0.5)/(2*Z112)</f>
        <v>414.06507417403111</v>
      </c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118"/>
      <c r="AR112" s="118"/>
      <c r="AS112" s="118"/>
    </row>
    <row r="113" spans="1:45">
      <c r="A113" s="118"/>
      <c r="B113" s="119">
        <v>-8</v>
      </c>
      <c r="C113" s="118"/>
      <c r="D113" s="118"/>
      <c r="E113" s="118"/>
      <c r="F113" s="118"/>
      <c r="G113" s="118"/>
      <c r="H113" s="118"/>
      <c r="I113" s="118"/>
      <c r="J113" s="118"/>
      <c r="K113" s="118"/>
      <c r="L113" s="118"/>
      <c r="M113" s="118">
        <v>0</v>
      </c>
      <c r="N113" s="118">
        <v>0.1</v>
      </c>
      <c r="O113" s="118">
        <v>0.27</v>
      </c>
      <c r="P113" s="118">
        <v>0.6</v>
      </c>
      <c r="Q113" s="118">
        <v>1.05</v>
      </c>
      <c r="R113" s="118">
        <v>1.7</v>
      </c>
      <c r="S113" s="118">
        <v>2.4</v>
      </c>
      <c r="T113" s="118"/>
      <c r="U113" s="118"/>
      <c r="V113" s="118"/>
      <c r="W113" s="118"/>
      <c r="X113" s="118"/>
      <c r="Y113" s="118"/>
      <c r="Z113" s="118">
        <f t="array" ref="Z113:AB113">LINEST(M113:S113, M3:S3^{1;2})</f>
        <v>1.0742857142857144E-4</v>
      </c>
      <c r="AA113" s="118">
        <v>-5.3857142857142867E-2</v>
      </c>
      <c r="AB113" s="118">
        <v>6.7621428571428623</v>
      </c>
      <c r="AC113" s="118">
        <f t="shared" si="21"/>
        <v>1.4288095238095293</v>
      </c>
      <c r="AD113" s="118">
        <f>-B113/Parameters!$C$3*1000</f>
        <v>5.333333333333333</v>
      </c>
      <c r="AE113" s="118">
        <f t="shared" si="23"/>
        <v>473.2245490794395</v>
      </c>
      <c r="AF113" s="118"/>
      <c r="AG113" s="118"/>
      <c r="AH113" s="118"/>
      <c r="AI113" s="118"/>
      <c r="AJ113" s="118"/>
      <c r="AK113" s="118"/>
      <c r="AL113" s="118"/>
      <c r="AM113" s="118"/>
      <c r="AN113" s="118"/>
      <c r="AO113" s="118"/>
      <c r="AP113" s="118"/>
      <c r="AQ113" s="118"/>
      <c r="AR113" s="118"/>
      <c r="AS113" s="118"/>
    </row>
    <row r="114" spans="1:45">
      <c r="A114" s="118"/>
      <c r="B114" s="119">
        <v>-9</v>
      </c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>
        <v>0</v>
      </c>
      <c r="O114" s="118">
        <v>0.05</v>
      </c>
      <c r="P114" s="118">
        <v>0.19</v>
      </c>
      <c r="Q114" s="118">
        <v>0.4</v>
      </c>
      <c r="R114" s="118">
        <v>0.73</v>
      </c>
      <c r="S114" s="118">
        <v>1.2</v>
      </c>
      <c r="T114" s="118">
        <v>1.8</v>
      </c>
      <c r="U114" s="118"/>
      <c r="V114" s="118"/>
      <c r="W114" s="118"/>
      <c r="X114" s="118"/>
      <c r="Y114" s="118"/>
      <c r="Z114" s="118">
        <f t="array" ref="Z114:AB114">LINEST(N114:T114, N3:T3^{1;2})</f>
        <v>8.8380952380952318E-5</v>
      </c>
      <c r="AA114" s="118">
        <v>-5.0095238095238054E-2</v>
      </c>
      <c r="AB114" s="118">
        <v>7.1099999999999923</v>
      </c>
      <c r="AC114" s="118">
        <f t="shared" si="21"/>
        <v>1.1099999999999923</v>
      </c>
      <c r="AD114" s="118">
        <f>-B114/Parameters!$C$3*1000</f>
        <v>6</v>
      </c>
      <c r="AE114" s="118">
        <f t="shared" si="23"/>
        <v>543.71119329981207</v>
      </c>
      <c r="AF114" s="118"/>
      <c r="AG114" s="118"/>
      <c r="AH114" s="118"/>
      <c r="AI114" s="118"/>
      <c r="AJ114" s="118"/>
      <c r="AK114" s="118"/>
      <c r="AL114" s="118"/>
      <c r="AM114" s="118"/>
      <c r="AN114" s="118"/>
      <c r="AO114" s="118"/>
      <c r="AP114" s="118"/>
      <c r="AQ114" s="118"/>
      <c r="AR114" s="118"/>
      <c r="AS114" s="118"/>
    </row>
    <row r="115" spans="1:45">
      <c r="A115" s="118"/>
      <c r="B115" s="119">
        <v>-10</v>
      </c>
      <c r="C115" s="118"/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>
        <v>0</v>
      </c>
      <c r="Q115" s="118">
        <v>6.0000000000000053E-2</v>
      </c>
      <c r="R115" s="118">
        <v>0.21</v>
      </c>
      <c r="S115" s="118">
        <v>0.47</v>
      </c>
      <c r="T115" s="118">
        <v>0.8</v>
      </c>
      <c r="U115" s="118">
        <v>1.2</v>
      </c>
      <c r="V115" s="118"/>
      <c r="W115" s="118"/>
      <c r="X115" s="118"/>
      <c r="Y115" s="118"/>
      <c r="Z115" s="118">
        <f t="array" ref="Z115:AB115">LINEST(P115:U115, P3:U3^{1;2})</f>
        <v>6.9142857142856973E-5</v>
      </c>
      <c r="AA115" s="118">
        <v>-4.3894285714285594E-2</v>
      </c>
      <c r="AB115" s="118">
        <v>6.9574285714285509</v>
      </c>
      <c r="AC115" s="118">
        <f t="shared" si="21"/>
        <v>0.2907619047618839</v>
      </c>
      <c r="AD115" s="118">
        <f>-B115/Parameters!$C$3*1000</f>
        <v>6.666666666666667</v>
      </c>
      <c r="AE115" s="118">
        <f t="shared" si="23"/>
        <v>628.13997014512938</v>
      </c>
      <c r="AF115" s="118"/>
      <c r="AG115" s="118"/>
      <c r="AH115" s="118"/>
      <c r="AI115" s="118"/>
      <c r="AJ115" s="118"/>
      <c r="AK115" s="118"/>
      <c r="AL115" s="118"/>
      <c r="AM115" s="118"/>
      <c r="AN115" s="118"/>
      <c r="AO115" s="118"/>
      <c r="AP115" s="118"/>
      <c r="AQ115" s="118"/>
      <c r="AR115" s="118"/>
      <c r="AS115" s="118"/>
    </row>
    <row r="116" spans="1:45">
      <c r="A116" s="118"/>
      <c r="B116" s="119">
        <v>-11</v>
      </c>
      <c r="C116" s="118"/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>
        <v>0</v>
      </c>
      <c r="R116" s="118">
        <v>5.0000000000000001E-3</v>
      </c>
      <c r="S116" s="118">
        <v>0.13</v>
      </c>
      <c r="T116" s="118">
        <v>0.35</v>
      </c>
      <c r="U116" s="118">
        <v>0.63</v>
      </c>
      <c r="V116" s="118"/>
      <c r="W116" s="118"/>
      <c r="X116" s="118"/>
      <c r="Y116" s="118"/>
      <c r="Z116" s="118">
        <f t="array" ref="Z116:AB116">LINEST(Q116:U116, Q3:U3^{1;2})</f>
        <v>7.3714285714285678E-5</v>
      </c>
      <c r="AA116" s="118">
        <v>-5.2551428571428548E-2</v>
      </c>
      <c r="AB116" s="118">
        <v>9.3571428571428523</v>
      </c>
      <c r="AC116" s="118">
        <f t="shared" si="21"/>
        <v>2.0238095238095193</v>
      </c>
      <c r="AD116" s="118">
        <f>-B116/Parameters!$C$3*1000</f>
        <v>7.333333333333333</v>
      </c>
      <c r="AE116" s="118">
        <f t="shared" si="23"/>
        <v>672.05499187116823</v>
      </c>
      <c r="AF116" s="118"/>
      <c r="AG116" s="118"/>
      <c r="AH116" s="118"/>
      <c r="AI116" s="118"/>
      <c r="AJ116" s="118"/>
      <c r="AK116" s="118"/>
      <c r="AL116" s="118"/>
      <c r="AM116" s="118"/>
      <c r="AN116" s="118"/>
      <c r="AO116" s="118"/>
      <c r="AP116" s="118"/>
      <c r="AQ116" s="118"/>
      <c r="AR116" s="118"/>
      <c r="AS116" s="118"/>
    </row>
    <row r="117" spans="1:45">
      <c r="A117" s="118"/>
      <c r="B117" s="119">
        <v>-12</v>
      </c>
      <c r="C117" s="118"/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>
        <v>0</v>
      </c>
      <c r="S117" s="118">
        <v>1E-3</v>
      </c>
      <c r="T117" s="118">
        <v>6.0000000000000053E-2</v>
      </c>
      <c r="U117" s="118">
        <v>0.2</v>
      </c>
      <c r="V117" s="118">
        <v>0.4</v>
      </c>
      <c r="W117" s="118"/>
      <c r="X117" s="118"/>
      <c r="Y117" s="118"/>
      <c r="Z117" s="118">
        <f t="array" ref="Z117:AB117">LINEST(R117:V117, R3:V3^{1;2})</f>
        <v>5.474285714285707E-5</v>
      </c>
      <c r="AA117" s="118">
        <v>-4.2535428571428516E-2</v>
      </c>
      <c r="AB117" s="118">
        <v>8.2533999999999921</v>
      </c>
      <c r="AC117" s="118">
        <f t="shared" si="21"/>
        <v>0.25339999999999208</v>
      </c>
      <c r="AD117" s="118">
        <f>-B117/Parameters!$C$3*1000</f>
        <v>8</v>
      </c>
      <c r="AE117" s="118">
        <f t="shared" si="23"/>
        <v>771.00039843552304</v>
      </c>
      <c r="AF117" s="118"/>
      <c r="AG117" s="118"/>
      <c r="AH117" s="118"/>
      <c r="AI117" s="118"/>
      <c r="AJ117" s="118"/>
      <c r="AK117" s="118"/>
      <c r="AL117" s="118"/>
      <c r="AM117" s="118"/>
      <c r="AN117" s="118"/>
      <c r="AO117" s="118"/>
      <c r="AP117" s="118"/>
      <c r="AQ117" s="118"/>
      <c r="AR117" s="118"/>
      <c r="AS117" s="118"/>
    </row>
    <row r="118" spans="1:45">
      <c r="A118" s="118"/>
      <c r="B118" s="119"/>
      <c r="C118" s="118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8"/>
      <c r="AK118" s="118"/>
      <c r="AL118" s="118"/>
      <c r="AM118" s="118"/>
      <c r="AN118" s="118"/>
      <c r="AO118" s="118"/>
      <c r="AP118" s="118"/>
      <c r="AQ118" s="118"/>
      <c r="AR118" s="118"/>
      <c r="AS118" s="118"/>
    </row>
    <row r="119" spans="1:45">
      <c r="A119" s="118"/>
      <c r="B119" s="119" t="s">
        <v>17</v>
      </c>
      <c r="C119" s="118" t="s">
        <v>22</v>
      </c>
      <c r="D119" s="118">
        <f>('Valve Spec'!$B$6/'Graph Data'!D3)*1000</f>
        <v>66</v>
      </c>
      <c r="E119" s="118">
        <f>('Valve Spec'!$B$6/'Graph Data'!E3)*1000</f>
        <v>33</v>
      </c>
      <c r="F119" s="118">
        <f>('Valve Spec'!$B$6/'Graph Data'!F3)*1000</f>
        <v>22</v>
      </c>
      <c r="G119" s="118">
        <f>('Valve Spec'!$B$6/'Graph Data'!G3)*1000</f>
        <v>16.5</v>
      </c>
      <c r="H119" s="118">
        <f>('Valve Spec'!$B$6/'Graph Data'!H3)*1000</f>
        <v>13.2</v>
      </c>
      <c r="I119" s="118">
        <f>('Valve Spec'!$B$6/'Graph Data'!I3)*1000</f>
        <v>11</v>
      </c>
      <c r="J119" s="118">
        <f>('Valve Spec'!$B$6/'Graph Data'!J3)*1000</f>
        <v>9.4285714285714288</v>
      </c>
      <c r="K119" s="118">
        <f>('Valve Spec'!$B$6/'Graph Data'!K3)*1000</f>
        <v>8.25</v>
      </c>
      <c r="L119" s="118">
        <f>('Valve Spec'!$B$6/'Graph Data'!L3)*1000</f>
        <v>7.2976559044670504</v>
      </c>
      <c r="M119" s="118">
        <f>('Valve Spec'!$B$6/'Graph Data'!M3)*1000</f>
        <v>6.6</v>
      </c>
      <c r="N119" s="118">
        <f>('Valve Spec'!$B$6/'Graph Data'!N3)*1000</f>
        <v>5.9999999999999991</v>
      </c>
      <c r="O119" s="118">
        <f>('Valve Spec'!$B$6/'Graph Data'!O3)*1000</f>
        <v>5.5</v>
      </c>
      <c r="P119" s="118">
        <f>('Valve Spec'!$B$6/'Graph Data'!P3)*1000</f>
        <v>5.0769230769230766</v>
      </c>
      <c r="Q119" s="118">
        <f>('Valve Spec'!$B$6/'Graph Data'!Q3)*1000</f>
        <v>4.7142857142857144</v>
      </c>
      <c r="R119" s="118">
        <f>('Valve Spec'!$B$6/'Graph Data'!R3)*1000</f>
        <v>4.3999999999999995</v>
      </c>
      <c r="S119" s="118">
        <f>('Valve Spec'!$B$6/'Graph Data'!S3)*1000</f>
        <v>4.125</v>
      </c>
      <c r="T119" s="118">
        <f>('Valve Spec'!$B$6/'Graph Data'!T3)*1000</f>
        <v>3.8823529411764706</v>
      </c>
      <c r="U119" s="118">
        <f>('Valve Spec'!$B$6/'Graph Data'!U3)*1000</f>
        <v>3.6666666666666665</v>
      </c>
      <c r="V119" s="118">
        <f>('Valve Spec'!$B$6/'Graph Data'!V3)*1000</f>
        <v>3.4736842105263155</v>
      </c>
      <c r="W119" s="118"/>
      <c r="X119" s="118"/>
      <c r="Y119" s="118"/>
      <c r="Z119" s="118"/>
      <c r="AA119" s="118"/>
      <c r="AB119" s="118"/>
      <c r="AC119" s="118"/>
      <c r="AD119" s="118"/>
      <c r="AE119" s="118"/>
      <c r="AF119" s="118"/>
      <c r="AG119" s="118"/>
      <c r="AH119" s="118"/>
      <c r="AI119" s="118"/>
      <c r="AJ119" s="118"/>
      <c r="AK119" s="118"/>
      <c r="AL119" s="118"/>
      <c r="AM119" s="118"/>
      <c r="AN119" s="118"/>
      <c r="AO119" s="118"/>
      <c r="AP119" s="118"/>
      <c r="AQ119" s="118"/>
      <c r="AR119" s="118"/>
      <c r="AS119" s="118"/>
    </row>
    <row r="120" spans="1:45" ht="13" thickBot="1">
      <c r="A120" s="31"/>
      <c r="B120" s="32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3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</row>
    <row r="121" spans="1:45" ht="14" thickTop="1" thickBot="1">
      <c r="A121" s="31"/>
      <c r="B121" s="34" t="s">
        <v>21</v>
      </c>
      <c r="C121" s="35">
        <v>10</v>
      </c>
      <c r="D121" s="35">
        <f>C121*1.18</f>
        <v>11.799999999999999</v>
      </c>
      <c r="E121" s="35">
        <f t="shared" ref="E121:AR121" si="24">D121*1.18</f>
        <v>13.923999999999998</v>
      </c>
      <c r="F121" s="35">
        <f t="shared" si="24"/>
        <v>16.430319999999995</v>
      </c>
      <c r="G121" s="35">
        <f t="shared" si="24"/>
        <v>19.387777599999993</v>
      </c>
      <c r="H121" s="35">
        <f t="shared" si="24"/>
        <v>22.877577567999989</v>
      </c>
      <c r="I121" s="35">
        <f t="shared" si="24"/>
        <v>26.995541530239986</v>
      </c>
      <c r="J121" s="35">
        <f t="shared" si="24"/>
        <v>31.854739005683182</v>
      </c>
      <c r="K121" s="35">
        <f t="shared" si="24"/>
        <v>37.588592026706152</v>
      </c>
      <c r="L121" s="35">
        <f t="shared" si="24"/>
        <v>44.354538591513254</v>
      </c>
      <c r="M121" s="35">
        <f t="shared" si="24"/>
        <v>52.338355537985635</v>
      </c>
      <c r="N121" s="35">
        <f t="shared" si="24"/>
        <v>61.759259534823045</v>
      </c>
      <c r="O121" s="35">
        <f t="shared" si="24"/>
        <v>72.875926251091187</v>
      </c>
      <c r="P121" s="35">
        <f t="shared" si="24"/>
        <v>85.993592976287601</v>
      </c>
      <c r="Q121" s="35">
        <f t="shared" si="24"/>
        <v>101.47243971201937</v>
      </c>
      <c r="R121" s="35">
        <f t="shared" si="24"/>
        <v>119.73747886018285</v>
      </c>
      <c r="S121" s="35">
        <f t="shared" si="24"/>
        <v>141.29022505501575</v>
      </c>
      <c r="T121" s="35">
        <f t="shared" si="24"/>
        <v>166.72246556491859</v>
      </c>
      <c r="U121" s="35">
        <f t="shared" si="24"/>
        <v>196.73250936660392</v>
      </c>
      <c r="V121" s="35">
        <f t="shared" si="24"/>
        <v>232.14436105259261</v>
      </c>
      <c r="W121" s="35">
        <f t="shared" si="24"/>
        <v>273.93034604205928</v>
      </c>
      <c r="X121" s="35">
        <f t="shared" si="24"/>
        <v>323.23780832962996</v>
      </c>
      <c r="Y121" s="35">
        <f t="shared" si="24"/>
        <v>381.42061382896333</v>
      </c>
      <c r="Z121" s="35">
        <f t="shared" si="24"/>
        <v>450.07632431817672</v>
      </c>
      <c r="AA121" s="35">
        <f t="shared" si="24"/>
        <v>531.09006269544852</v>
      </c>
      <c r="AB121" s="35">
        <f t="shared" si="24"/>
        <v>626.68627398062927</v>
      </c>
      <c r="AC121" s="35">
        <f t="shared" si="24"/>
        <v>739.48980329714254</v>
      </c>
      <c r="AD121" s="35">
        <f t="shared" si="24"/>
        <v>872.59796789062818</v>
      </c>
      <c r="AE121" s="35">
        <f t="shared" si="24"/>
        <v>1029.6656021109411</v>
      </c>
      <c r="AF121" s="35">
        <f t="shared" si="24"/>
        <v>1215.0054104909104</v>
      </c>
      <c r="AG121" s="35">
        <f t="shared" si="24"/>
        <v>1433.7063843792741</v>
      </c>
      <c r="AH121" s="35">
        <f t="shared" si="24"/>
        <v>1691.7735335675434</v>
      </c>
      <c r="AI121" s="35">
        <f t="shared" si="24"/>
        <v>1996.2927696097011</v>
      </c>
      <c r="AJ121" s="35">
        <f t="shared" si="24"/>
        <v>2355.6254681394471</v>
      </c>
      <c r="AK121" s="35">
        <f t="shared" si="24"/>
        <v>2779.6380524045476</v>
      </c>
      <c r="AL121" s="35">
        <f t="shared" si="24"/>
        <v>3279.972901837366</v>
      </c>
      <c r="AM121" s="35">
        <f t="shared" si="24"/>
        <v>3870.3680241680918</v>
      </c>
      <c r="AN121" s="35">
        <f t="shared" si="24"/>
        <v>4567.0342685183477</v>
      </c>
      <c r="AO121" s="35">
        <f t="shared" si="24"/>
        <v>5389.1004368516496</v>
      </c>
      <c r="AP121" s="35">
        <f t="shared" si="24"/>
        <v>6359.1385154849459</v>
      </c>
      <c r="AQ121" s="35">
        <f t="shared" si="24"/>
        <v>7503.7834482722355</v>
      </c>
      <c r="AR121" s="35">
        <f t="shared" si="24"/>
        <v>8854.4644689612378</v>
      </c>
      <c r="AS121" s="35">
        <v>10000</v>
      </c>
    </row>
    <row r="122" spans="1:45" ht="38" thickTop="1" thickBot="1">
      <c r="A122" s="36" t="s">
        <v>34</v>
      </c>
      <c r="B122" s="34" t="s">
        <v>32</v>
      </c>
      <c r="C122" s="35">
        <f>1+((2*PI()*C121*(Parameters!$D$3/1000000)*Parameters!$C$3)^2)</f>
        <v>5.2991996771145251</v>
      </c>
      <c r="D122" s="35">
        <f>1+((2*PI()*D121*(Parameters!$D$3/1000000)*Parameters!$C$3)^2)</f>
        <v>6.9862056304142612</v>
      </c>
      <c r="E122" s="35">
        <f>1+((2*PI()*E121*(Parameters!$D$3/1000000)*Parameters!$C$3)^2)</f>
        <v>9.335192719788818</v>
      </c>
      <c r="F122" s="35">
        <f>1+((2*PI()*F121*(Parameters!$D$3/1000000)*Parameters!$C$3)^2)</f>
        <v>12.605922343033949</v>
      </c>
      <c r="G122" s="35">
        <f>1+((2*PI()*G121*(Parameters!$D$3/1000000)*Parameters!$C$3)^2)</f>
        <v>17.160086270440466</v>
      </c>
      <c r="H122" s="35">
        <f>1+((2*PI()*H121*(Parameters!$D$3/1000000)*Parameters!$C$3)^2)</f>
        <v>23.501304122961301</v>
      </c>
      <c r="I122" s="35">
        <f>1+((2*PI()*I121*(Parameters!$D$3/1000000)*Parameters!$C$3)^2)</f>
        <v>32.330815860811306</v>
      </c>
      <c r="J122" s="35">
        <f>1+((2*PI()*J121*(Parameters!$D$3/1000000)*Parameters!$C$3)^2)</f>
        <v>44.625028004593673</v>
      </c>
      <c r="K122" s="35">
        <f>1+((2*PI()*K121*(Parameters!$D$3/1000000)*Parameters!$C$3)^2)</f>
        <v>61.743488993596216</v>
      </c>
      <c r="L122" s="35">
        <f>1+((2*PI()*L121*(Parameters!$D$3/1000000)*Parameters!$C$3)^2)</f>
        <v>85.57923407468337</v>
      </c>
      <c r="M122" s="35">
        <f>1+((2*PI()*M121*(Parameters!$D$3/1000000)*Parameters!$C$3)^2)</f>
        <v>118.76812552558904</v>
      </c>
      <c r="N122" s="35">
        <f>1+((2*PI()*N121*(Parameters!$D$3/1000000)*Parameters!$C$3)^2)</f>
        <v>164.98033798183019</v>
      </c>
      <c r="O122" s="35">
        <f>1+((2*PI()*O121*(Parameters!$D$3/1000000)*Parameters!$C$3)^2)</f>
        <v>229.32622260590031</v>
      </c>
      <c r="P122" s="35">
        <f>1+((2*PI()*P121*(Parameters!$D$3/1000000)*Parameters!$C$3)^2)</f>
        <v>318.92143235645563</v>
      </c>
      <c r="Q122" s="35">
        <f>1+((2*PI()*Q121*(Parameters!$D$3/1000000)*Parameters!$C$3)^2)</f>
        <v>443.67380241312867</v>
      </c>
      <c r="R122" s="35">
        <f>1+((2*PI()*R121*(Parameters!$D$3/1000000)*Parameters!$C$3)^2)</f>
        <v>617.37900248004019</v>
      </c>
      <c r="S122" s="35">
        <f>1+((2*PI()*S121*(Parameters!$D$3/1000000)*Parameters!$C$3)^2)</f>
        <v>859.24612305320841</v>
      </c>
      <c r="T122" s="35">
        <f>1+((2*PI()*T121*(Parameters!$D$3/1000000)*Parameters!$C$3)^2)</f>
        <v>1196.0219017392872</v>
      </c>
      <c r="U122" s="35">
        <f>1+((2*PI()*U121*(Parameters!$D$3/1000000)*Parameters!$C$3)^2)</f>
        <v>1664.948495981783</v>
      </c>
      <c r="V122" s="35">
        <f>1+((2*PI()*V121*(Parameters!$D$3/1000000)*Parameters!$C$3)^2)</f>
        <v>2317.8818858050349</v>
      </c>
      <c r="W122" s="35">
        <f>1+((2*PI()*W121*(Parameters!$D$3/1000000)*Parameters!$C$3)^2)</f>
        <v>3227.0263377949309</v>
      </c>
      <c r="X122" s="35">
        <f>1+((2*PI()*X121*(Parameters!$D$3/1000000)*Parameters!$C$3)^2)</f>
        <v>4492.9190727456598</v>
      </c>
      <c r="Y122" s="35">
        <f>1+((2*PI()*Y121*(Parameters!$D$3/1000000)*Parameters!$C$3)^2)</f>
        <v>6255.5481168910574</v>
      </c>
      <c r="Z122" s="35">
        <f>1+((2*PI()*Z121*(Parameters!$D$3/1000000)*Parameters!$C$3)^2)</f>
        <v>8709.8327979591068</v>
      </c>
      <c r="AA122" s="35">
        <f>1+((2*PI()*AA121*(Parameters!$D$3/1000000)*Parameters!$C$3)^2)</f>
        <v>12127.17878787826</v>
      </c>
      <c r="AB122" s="35">
        <f>1+((2*PI()*AB121*(Parameters!$D$3/1000000)*Parameters!$C$3)^2)</f>
        <v>16885.491344241695</v>
      </c>
      <c r="AC122" s="35">
        <f>1+((2*PI()*AC121*(Parameters!$D$3/1000000)*Parameters!$C$3)^2)</f>
        <v>23510.965747722134</v>
      </c>
      <c r="AD122" s="35">
        <f>1+((2*PI()*AD121*(Parameters!$D$3/1000000)*Parameters!$C$3)^2)</f>
        <v>32736.27630712829</v>
      </c>
      <c r="AE122" s="35">
        <f>1+((2*PI()*AE121*(Parameters!$D$3/1000000)*Parameters!$C$3)^2)</f>
        <v>45581.598730045422</v>
      </c>
      <c r="AF122" s="35">
        <f>1+((2*PI()*AF121*(Parameters!$D$3/1000000)*Parameters!$C$3)^2)</f>
        <v>63467.425671715253</v>
      </c>
      <c r="AG122" s="35">
        <f>1+((2*PI()*AG121*(Parameters!$D$3/1000000)*Parameters!$C$3)^2)</f>
        <v>88371.651105296289</v>
      </c>
      <c r="AH122" s="35">
        <f>1+((2*PI()*AH121*(Parameters!$D$3/1000000)*Parameters!$C$3)^2)</f>
        <v>123048.29459901452</v>
      </c>
      <c r="AI122" s="35">
        <f>1+((2*PI()*AI121*(Parameters!$D$3/1000000)*Parameters!$C$3)^2)</f>
        <v>171332.05299966782</v>
      </c>
      <c r="AJ122" s="35">
        <f>1+((2*PI()*AJ121*(Parameters!$D$3/1000000)*Parameters!$C$3)^2)</f>
        <v>238562.35819673745</v>
      </c>
      <c r="AK122" s="35">
        <f>1+((2*PI()*AK121*(Parameters!$D$3/1000000)*Parameters!$C$3)^2)</f>
        <v>332173.83515313722</v>
      </c>
      <c r="AL122" s="35">
        <f>1+((2*PI()*AL121*(Parameters!$D$3/1000000)*Parameters!$C$3)^2)</f>
        <v>462518.45566722821</v>
      </c>
      <c r="AM122" s="35">
        <f>1+((2*PI()*AM121*(Parameters!$D$3/1000000)*Parameters!$C$3)^2)</f>
        <v>644010.30527104856</v>
      </c>
      <c r="AN122" s="35">
        <f>1+((2*PI()*AN121*(Parameters!$D$3/1000000)*Parameters!$C$3)^2)</f>
        <v>896719.55665940756</v>
      </c>
      <c r="AO122" s="35">
        <f>1+((2*PI()*AO121*(Parameters!$D$3/1000000)*Parameters!$C$3)^2)</f>
        <v>1248591.918292559</v>
      </c>
      <c r="AP122" s="35">
        <f>1+((2*PI()*AP121*(Parameters!$D$3/1000000)*Parameters!$C$3)^2)</f>
        <v>1738538.9946305586</v>
      </c>
      <c r="AQ122" s="35">
        <f>1+((2*PI()*AQ121*(Parameters!$D$3/1000000)*Parameters!$C$3)^2)</f>
        <v>2420741.3037235891</v>
      </c>
      <c r="AR122" s="35">
        <f>1+((2*PI()*AR121*(Parameters!$D$3/1000000)*Parameters!$C$3)^2)</f>
        <v>3370639.7989047267</v>
      </c>
      <c r="AS122" s="35">
        <f>1+((2*PI()*AS121*(Parameters!$D$3/1000000)*Parameters!$C$3)^2)</f>
        <v>4299200.677114523</v>
      </c>
    </row>
    <row r="123" spans="1:45" ht="14" thickTop="1" thickBot="1">
      <c r="A123" s="31"/>
      <c r="B123" s="34" t="s">
        <v>31</v>
      </c>
      <c r="C123" s="35">
        <f>(1+((('Valve Spec'!$D$6+1)*Parameters!$C$3)/('Valve Spec'!$E$6+(1/((1/Parameters!$B$3)+(1/Parameters!$G$3))))))^2</f>
        <v>2.9583999999999997</v>
      </c>
      <c r="D123" s="35">
        <f>(1+((('Valve Spec'!$D$6+1)*Parameters!$C$3)/('Valve Spec'!$E$6+(1/((1/Parameters!$B$3)+(1/Parameters!$G$3))))))^2</f>
        <v>2.9583999999999997</v>
      </c>
      <c r="E123" s="35">
        <f>(1+((('Valve Spec'!$D$6+1)*Parameters!$C$3)/('Valve Spec'!$E$6+(1/((1/Parameters!$B$3)+(1/Parameters!$G$3))))))^2</f>
        <v>2.9583999999999997</v>
      </c>
      <c r="F123" s="35">
        <f>(1+((('Valve Spec'!$D$6+1)*Parameters!$C$3)/('Valve Spec'!$E$6+(1/((1/Parameters!$B$3)+(1/Parameters!$G$3))))))^2</f>
        <v>2.9583999999999997</v>
      </c>
      <c r="G123" s="35">
        <f>(1+((('Valve Spec'!$D$6+1)*Parameters!$C$3)/('Valve Spec'!$E$6+(1/((1/Parameters!$B$3)+(1/Parameters!$G$3))))))^2</f>
        <v>2.9583999999999997</v>
      </c>
      <c r="H123" s="35">
        <f>(1+((('Valve Spec'!$D$6+1)*Parameters!$C$3)/('Valve Spec'!$E$6+(1/((1/Parameters!$B$3)+(1/Parameters!$G$3))))))^2</f>
        <v>2.9583999999999997</v>
      </c>
      <c r="I123" s="35">
        <f>(1+((('Valve Spec'!$D$6+1)*Parameters!$C$3)/('Valve Spec'!$E$6+(1/((1/Parameters!$B$3)+(1/Parameters!$G$3))))))^2</f>
        <v>2.9583999999999997</v>
      </c>
      <c r="J123" s="35">
        <f>(1+((('Valve Spec'!$D$6+1)*Parameters!$C$3)/('Valve Spec'!$E$6+(1/((1/Parameters!$B$3)+(1/Parameters!$G$3))))))^2</f>
        <v>2.9583999999999997</v>
      </c>
      <c r="K123" s="35">
        <f>(1+((('Valve Spec'!$D$6+1)*Parameters!$C$3)/('Valve Spec'!$E$6+(1/((1/Parameters!$B$3)+(1/Parameters!$G$3))))))^2</f>
        <v>2.9583999999999997</v>
      </c>
      <c r="L123" s="35">
        <f>(1+((('Valve Spec'!$D$6+1)*Parameters!$C$3)/('Valve Spec'!$E$6+(1/((1/Parameters!$B$3)+(1/Parameters!$G$3))))))^2</f>
        <v>2.9583999999999997</v>
      </c>
      <c r="M123" s="35">
        <f>(1+((('Valve Spec'!$D$6+1)*Parameters!$C$3)/('Valve Spec'!$E$6+(1/((1/Parameters!$B$3)+(1/Parameters!$G$3))))))^2</f>
        <v>2.9583999999999997</v>
      </c>
      <c r="N123" s="35">
        <f>(1+((('Valve Spec'!$D$6+1)*Parameters!$C$3)/('Valve Spec'!$E$6+(1/((1/Parameters!$B$3)+(1/Parameters!$G$3))))))^2</f>
        <v>2.9583999999999997</v>
      </c>
      <c r="O123" s="35">
        <f>(1+((('Valve Spec'!$D$6+1)*Parameters!$C$3)/('Valve Spec'!$E$6+(1/((1/Parameters!$B$3)+(1/Parameters!$G$3))))))^2</f>
        <v>2.9583999999999997</v>
      </c>
      <c r="P123" s="35">
        <f>(1+((('Valve Spec'!$D$6+1)*Parameters!$C$3)/('Valve Spec'!$E$6+(1/((1/Parameters!$B$3)+(1/Parameters!$G$3))))))^2</f>
        <v>2.9583999999999997</v>
      </c>
      <c r="Q123" s="35">
        <f>(1+((('Valve Spec'!$D$6+1)*Parameters!$C$3)/('Valve Spec'!$E$6+(1/((1/Parameters!$B$3)+(1/Parameters!$G$3))))))^2</f>
        <v>2.9583999999999997</v>
      </c>
      <c r="R123" s="35">
        <f>(1+((('Valve Spec'!$D$6+1)*Parameters!$C$3)/('Valve Spec'!$E$6+(1/((1/Parameters!$B$3)+(1/Parameters!$G$3))))))^2</f>
        <v>2.9583999999999997</v>
      </c>
      <c r="S123" s="35">
        <f>(1+((('Valve Spec'!$D$6+1)*Parameters!$C$3)/('Valve Spec'!$E$6+(1/((1/Parameters!$B$3)+(1/Parameters!$G$3))))))^2</f>
        <v>2.9583999999999997</v>
      </c>
      <c r="T123" s="35">
        <f>(1+((('Valve Spec'!$D$6+1)*Parameters!$C$3)/('Valve Spec'!$E$6+(1/((1/Parameters!$B$3)+(1/Parameters!$G$3))))))^2</f>
        <v>2.9583999999999997</v>
      </c>
      <c r="U123" s="35">
        <f>(1+((('Valve Spec'!$D$6+1)*Parameters!$C$3)/('Valve Spec'!$E$6+(1/((1/Parameters!$B$3)+(1/Parameters!$G$3))))))^2</f>
        <v>2.9583999999999997</v>
      </c>
      <c r="V123" s="35">
        <f>(1+((('Valve Spec'!$D$6+1)*Parameters!$C$3)/('Valve Spec'!$E$6+(1/((1/Parameters!$B$3)+(1/Parameters!$G$3))))))^2</f>
        <v>2.9583999999999997</v>
      </c>
      <c r="W123" s="35">
        <f>(1+((('Valve Spec'!$D$6+1)*Parameters!$C$3)/('Valve Spec'!$E$6+(1/((1/Parameters!$B$3)+(1/Parameters!$G$3))))))^2</f>
        <v>2.9583999999999997</v>
      </c>
      <c r="X123" s="35">
        <f>(1+((('Valve Spec'!$D$6+1)*Parameters!$C$3)/('Valve Spec'!$E$6+(1/((1/Parameters!$B$3)+(1/Parameters!$G$3))))))^2</f>
        <v>2.9583999999999997</v>
      </c>
      <c r="Y123" s="35">
        <f>(1+((('Valve Spec'!$D$6+1)*Parameters!$C$3)/('Valve Spec'!$E$6+(1/((1/Parameters!$B$3)+(1/Parameters!$G$3))))))^2</f>
        <v>2.9583999999999997</v>
      </c>
      <c r="Z123" s="35">
        <f>(1+((('Valve Spec'!$D$6+1)*Parameters!$C$3)/('Valve Spec'!$E$6+(1/((1/Parameters!$B$3)+(1/Parameters!$G$3))))))^2</f>
        <v>2.9583999999999997</v>
      </c>
      <c r="AA123" s="35">
        <f>(1+((('Valve Spec'!$D$6+1)*Parameters!$C$3)/('Valve Spec'!$E$6+(1/((1/Parameters!$B$3)+(1/Parameters!$G$3))))))^2</f>
        <v>2.9583999999999997</v>
      </c>
      <c r="AB123" s="35">
        <f>(1+((('Valve Spec'!$D$6+1)*Parameters!$C$3)/('Valve Spec'!$E$6+(1/((1/Parameters!$B$3)+(1/Parameters!$G$3))))))^2</f>
        <v>2.9583999999999997</v>
      </c>
      <c r="AC123" s="35">
        <f>(1+((('Valve Spec'!$D$6+1)*Parameters!$C$3)/('Valve Spec'!$E$6+(1/((1/Parameters!$B$3)+(1/Parameters!$G$3))))))^2</f>
        <v>2.9583999999999997</v>
      </c>
      <c r="AD123" s="35">
        <f>(1+((('Valve Spec'!$D$6+1)*Parameters!$C$3)/('Valve Spec'!$E$6+(1/((1/Parameters!$B$3)+(1/Parameters!$G$3))))))^2</f>
        <v>2.9583999999999997</v>
      </c>
      <c r="AE123" s="35">
        <f>(1+((('Valve Spec'!$D$6+1)*Parameters!$C$3)/('Valve Spec'!$E$6+(1/((1/Parameters!$B$3)+(1/Parameters!$G$3))))))^2</f>
        <v>2.9583999999999997</v>
      </c>
      <c r="AF123" s="35">
        <f>(1+((('Valve Spec'!$D$6+1)*Parameters!$C$3)/('Valve Spec'!$E$6+(1/((1/Parameters!$B$3)+(1/Parameters!$G$3))))))^2</f>
        <v>2.9583999999999997</v>
      </c>
      <c r="AG123" s="35">
        <f>(1+((('Valve Spec'!$D$6+1)*Parameters!$C$3)/('Valve Spec'!$E$6+(1/((1/Parameters!$B$3)+(1/Parameters!$G$3))))))^2</f>
        <v>2.9583999999999997</v>
      </c>
      <c r="AH123" s="35">
        <f>(1+((('Valve Spec'!$D$6+1)*Parameters!$C$3)/('Valve Spec'!$E$6+(1/((1/Parameters!$B$3)+(1/Parameters!$G$3))))))^2</f>
        <v>2.9583999999999997</v>
      </c>
      <c r="AI123" s="35">
        <f>(1+((('Valve Spec'!$D$6+1)*Parameters!$C$3)/('Valve Spec'!$E$6+(1/((1/Parameters!$B$3)+(1/Parameters!$G$3))))))^2</f>
        <v>2.9583999999999997</v>
      </c>
      <c r="AJ123" s="35">
        <f>(1+((('Valve Spec'!$D$6+1)*Parameters!$C$3)/('Valve Spec'!$E$6+(1/((1/Parameters!$B$3)+(1/Parameters!$G$3))))))^2</f>
        <v>2.9583999999999997</v>
      </c>
      <c r="AK123" s="35">
        <f>(1+((('Valve Spec'!$D$6+1)*Parameters!$C$3)/('Valve Spec'!$E$6+(1/((1/Parameters!$B$3)+(1/Parameters!$G$3))))))^2</f>
        <v>2.9583999999999997</v>
      </c>
      <c r="AL123" s="35">
        <f>(1+((('Valve Spec'!$D$6+1)*Parameters!$C$3)/('Valve Spec'!$E$6+(1/((1/Parameters!$B$3)+(1/Parameters!$G$3))))))^2</f>
        <v>2.9583999999999997</v>
      </c>
      <c r="AM123" s="35">
        <f>(1+((('Valve Spec'!$D$6+1)*Parameters!$C$3)/('Valve Spec'!$E$6+(1/((1/Parameters!$B$3)+(1/Parameters!$G$3))))))^2</f>
        <v>2.9583999999999997</v>
      </c>
      <c r="AN123" s="35">
        <f>(1+((('Valve Spec'!$D$6+1)*Parameters!$C$3)/('Valve Spec'!$E$6+(1/((1/Parameters!$B$3)+(1/Parameters!$G$3))))))^2</f>
        <v>2.9583999999999997</v>
      </c>
      <c r="AO123" s="35">
        <f>(1+((('Valve Spec'!$D$6+1)*Parameters!$C$3)/('Valve Spec'!$E$6+(1/((1/Parameters!$B$3)+(1/Parameters!$G$3))))))^2</f>
        <v>2.9583999999999997</v>
      </c>
      <c r="AP123" s="35">
        <f>(1+((('Valve Spec'!$D$6+1)*Parameters!$C$3)/('Valve Spec'!$E$6+(1/((1/Parameters!$B$3)+(1/Parameters!$G$3))))))^2</f>
        <v>2.9583999999999997</v>
      </c>
      <c r="AQ123" s="35">
        <f>(1+((('Valve Spec'!$D$6+1)*Parameters!$C$3)/('Valve Spec'!$E$6+(1/((1/Parameters!$B$3)+(1/Parameters!$G$3))))))^2</f>
        <v>2.9583999999999997</v>
      </c>
      <c r="AR123" s="35">
        <f>(1+((('Valve Spec'!$D$6+1)*Parameters!$C$3)/('Valve Spec'!$E$6+(1/((1/Parameters!$B$3)+(1/Parameters!$G$3))))))^2</f>
        <v>2.9583999999999997</v>
      </c>
      <c r="AS123" s="35">
        <f>(1+((('Valve Spec'!$D$6+1)*Parameters!$C$3)/('Valve Spec'!$E$6+(1/((1/Parameters!$B$3)+(1/Parameters!$G$3))))))^2</f>
        <v>2.9583999999999997</v>
      </c>
    </row>
    <row r="124" spans="1:45" ht="14" thickTop="1" thickBot="1">
      <c r="A124" s="31"/>
      <c r="B124" s="34" t="s">
        <v>33</v>
      </c>
      <c r="C124" s="35">
        <f>(2*PI()*C121*(Parameters!$D$3/1000000)*Parameters!$C$3)^2</f>
        <v>4.2991996771145251</v>
      </c>
      <c r="D124" s="35">
        <f>(2*PI()*D121*(Parameters!$D$3/1000000)*Parameters!$C$3)^2</f>
        <v>5.9862056304142612</v>
      </c>
      <c r="E124" s="35">
        <f>(2*PI()*E121*(Parameters!$D$3/1000000)*Parameters!$C$3)^2</f>
        <v>8.335192719788818</v>
      </c>
      <c r="F124" s="35">
        <f>(2*PI()*F121*(Parameters!$D$3/1000000)*Parameters!$C$3)^2</f>
        <v>11.605922343033949</v>
      </c>
      <c r="G124" s="35">
        <f>(2*PI()*G121*(Parameters!$D$3/1000000)*Parameters!$C$3)^2</f>
        <v>16.160086270440466</v>
      </c>
      <c r="H124" s="35">
        <f>(2*PI()*H121*(Parameters!$D$3/1000000)*Parameters!$C$3)^2</f>
        <v>22.501304122961301</v>
      </c>
      <c r="I124" s="35">
        <f>(2*PI()*I121*(Parameters!$D$3/1000000)*Parameters!$C$3)^2</f>
        <v>31.330815860811306</v>
      </c>
      <c r="J124" s="35">
        <f>(2*PI()*J121*(Parameters!$D$3/1000000)*Parameters!$C$3)^2</f>
        <v>43.625028004593673</v>
      </c>
      <c r="K124" s="35">
        <f>(2*PI()*K121*(Parameters!$D$3/1000000)*Parameters!$C$3)^2</f>
        <v>60.743488993596216</v>
      </c>
      <c r="L124" s="35">
        <f>(2*PI()*L121*(Parameters!$D$3/1000000)*Parameters!$C$3)^2</f>
        <v>84.57923407468337</v>
      </c>
      <c r="M124" s="35">
        <f>(2*PI()*M121*(Parameters!$D$3/1000000)*Parameters!$C$3)^2</f>
        <v>117.76812552558904</v>
      </c>
      <c r="N124" s="35">
        <f>(2*PI()*N121*(Parameters!$D$3/1000000)*Parameters!$C$3)^2</f>
        <v>163.98033798183019</v>
      </c>
      <c r="O124" s="35">
        <f>(2*PI()*O121*(Parameters!$D$3/1000000)*Parameters!$C$3)^2</f>
        <v>228.32622260590031</v>
      </c>
      <c r="P124" s="35">
        <f>(2*PI()*P121*(Parameters!$D$3/1000000)*Parameters!$C$3)^2</f>
        <v>317.92143235645563</v>
      </c>
      <c r="Q124" s="35">
        <f>(2*PI()*Q121*(Parameters!$D$3/1000000)*Parameters!$C$3)^2</f>
        <v>442.67380241312867</v>
      </c>
      <c r="R124" s="35">
        <f>(2*PI()*R121*(Parameters!$D$3/1000000)*Parameters!$C$3)^2</f>
        <v>616.37900248004019</v>
      </c>
      <c r="S124" s="35">
        <f>(2*PI()*S121*(Parameters!$D$3/1000000)*Parameters!$C$3)^2</f>
        <v>858.24612305320841</v>
      </c>
      <c r="T124" s="35">
        <f>(2*PI()*T121*(Parameters!$D$3/1000000)*Parameters!$C$3)^2</f>
        <v>1195.0219017392872</v>
      </c>
      <c r="U124" s="35">
        <f>(2*PI()*U121*(Parameters!$D$3/1000000)*Parameters!$C$3)^2</f>
        <v>1663.948495981783</v>
      </c>
      <c r="V124" s="35">
        <f>(2*PI()*V121*(Parameters!$D$3/1000000)*Parameters!$C$3)^2</f>
        <v>2316.8818858050349</v>
      </c>
      <c r="W124" s="35">
        <f>(2*PI()*W121*(Parameters!$D$3/1000000)*Parameters!$C$3)^2</f>
        <v>3226.0263377949309</v>
      </c>
      <c r="X124" s="35">
        <f>(2*PI()*X121*(Parameters!$D$3/1000000)*Parameters!$C$3)^2</f>
        <v>4491.9190727456598</v>
      </c>
      <c r="Y124" s="35">
        <f>(2*PI()*Y121*(Parameters!$D$3/1000000)*Parameters!$C$3)^2</f>
        <v>6254.5481168910574</v>
      </c>
      <c r="Z124" s="35">
        <f>(2*PI()*Z121*(Parameters!$D$3/1000000)*Parameters!$C$3)^2</f>
        <v>8708.8327979591068</v>
      </c>
      <c r="AA124" s="35">
        <f>(2*PI()*AA121*(Parameters!$D$3/1000000)*Parameters!$C$3)^2</f>
        <v>12126.17878787826</v>
      </c>
      <c r="AB124" s="35">
        <f>(2*PI()*AB121*(Parameters!$D$3/1000000)*Parameters!$C$3)^2</f>
        <v>16884.491344241695</v>
      </c>
      <c r="AC124" s="35">
        <f>(2*PI()*AC121*(Parameters!$D$3/1000000)*Parameters!$C$3)^2</f>
        <v>23509.965747722134</v>
      </c>
      <c r="AD124" s="35">
        <f>(2*PI()*AD121*(Parameters!$D$3/1000000)*Parameters!$C$3)^2</f>
        <v>32735.27630712829</v>
      </c>
      <c r="AE124" s="35">
        <f>(2*PI()*AE121*(Parameters!$D$3/1000000)*Parameters!$C$3)^2</f>
        <v>45580.598730045422</v>
      </c>
      <c r="AF124" s="35">
        <f>(2*PI()*AF121*(Parameters!$D$3/1000000)*Parameters!$C$3)^2</f>
        <v>63466.425671715253</v>
      </c>
      <c r="AG124" s="35">
        <f>(2*PI()*AG121*(Parameters!$D$3/1000000)*Parameters!$C$3)^2</f>
        <v>88370.651105296289</v>
      </c>
      <c r="AH124" s="35">
        <f>(2*PI()*AH121*(Parameters!$D$3/1000000)*Parameters!$C$3)^2</f>
        <v>123047.29459901452</v>
      </c>
      <c r="AI124" s="35">
        <f>(2*PI()*AI121*(Parameters!$D$3/1000000)*Parameters!$C$3)^2</f>
        <v>171331.05299966782</v>
      </c>
      <c r="AJ124" s="35">
        <f>(2*PI()*AJ121*(Parameters!$D$3/1000000)*Parameters!$C$3)^2</f>
        <v>238561.35819673745</v>
      </c>
      <c r="AK124" s="35">
        <f>(2*PI()*AK121*(Parameters!$D$3/1000000)*Parameters!$C$3)^2</f>
        <v>332172.83515313722</v>
      </c>
      <c r="AL124" s="35">
        <f>(2*PI()*AL121*(Parameters!$D$3/1000000)*Parameters!$C$3)^2</f>
        <v>462517.45566722821</v>
      </c>
      <c r="AM124" s="35">
        <f>(2*PI()*AM121*(Parameters!$D$3/1000000)*Parameters!$C$3)^2</f>
        <v>644009.30527104856</v>
      </c>
      <c r="AN124" s="35">
        <f>(2*PI()*AN121*(Parameters!$D$3/1000000)*Parameters!$C$3)^2</f>
        <v>896718.55665940756</v>
      </c>
      <c r="AO124" s="35">
        <f>(2*PI()*AO121*(Parameters!$D$3/1000000)*Parameters!$C$3)^2</f>
        <v>1248590.918292559</v>
      </c>
      <c r="AP124" s="35">
        <f>(2*PI()*AP121*(Parameters!$D$3/1000000)*Parameters!$C$3)^2</f>
        <v>1738537.9946305586</v>
      </c>
      <c r="AQ124" s="35">
        <f>(2*PI()*AQ121*(Parameters!$D$3/1000000)*Parameters!$C$3)^2</f>
        <v>2420740.3037235891</v>
      </c>
      <c r="AR124" s="35">
        <f>(2*PI()*AR121*(Parameters!$D$3/1000000)*Parameters!$C$3)^2</f>
        <v>3370638.7989047267</v>
      </c>
      <c r="AS124" s="35">
        <f>(2*PI()*AS121*(Parameters!$D$3/1000000)*Parameters!$C$3)^2</f>
        <v>4299199.677114523</v>
      </c>
    </row>
    <row r="125" spans="1:45" ht="14" thickTop="1" thickBot="1">
      <c r="A125" s="31"/>
      <c r="B125" s="34" t="s">
        <v>35</v>
      </c>
      <c r="C125" s="35">
        <f t="shared" ref="C125:AS125" si="25">(C122/(C123+C124))^0.5</f>
        <v>0.8544932522575488</v>
      </c>
      <c r="D125" s="35">
        <f t="shared" si="25"/>
        <v>0.88377168590885613</v>
      </c>
      <c r="E125" s="35">
        <f t="shared" si="25"/>
        <v>0.90917101820912216</v>
      </c>
      <c r="F125" s="35">
        <f t="shared" si="25"/>
        <v>0.93034102538418717</v>
      </c>
      <c r="G125" s="35">
        <f t="shared" si="25"/>
        <v>0.94739913024645594</v>
      </c>
      <c r="H125" s="35">
        <f t="shared" si="25"/>
        <v>0.96076971549729329</v>
      </c>
      <c r="I125" s="35">
        <f t="shared" si="25"/>
        <v>0.97102308573400498</v>
      </c>
      <c r="J125" s="35">
        <f t="shared" si="25"/>
        <v>0.97875395187933611</v>
      </c>
      <c r="K125" s="35">
        <f t="shared" si="25"/>
        <v>0.98450840455801936</v>
      </c>
      <c r="L125" s="35">
        <f t="shared" si="25"/>
        <v>0.98875068042153869</v>
      </c>
      <c r="M125" s="35">
        <f t="shared" si="25"/>
        <v>0.99185594359947471</v>
      </c>
      <c r="N125" s="35">
        <f t="shared" si="25"/>
        <v>0.99411707078141054</v>
      </c>
      <c r="O125" s="35">
        <f t="shared" si="25"/>
        <v>0.99575725505286738</v>
      </c>
      <c r="P125" s="35">
        <f t="shared" si="25"/>
        <v>0.99694371990388952</v>
      </c>
      <c r="Q125" s="35">
        <f t="shared" si="25"/>
        <v>0.99780025281661267</v>
      </c>
      <c r="R125" s="35">
        <f t="shared" si="25"/>
        <v>0.99841770365919136</v>
      </c>
      <c r="S125" s="35">
        <f t="shared" si="25"/>
        <v>0.99886234072305402</v>
      </c>
      <c r="T125" s="35">
        <f t="shared" si="25"/>
        <v>0.999182289964899</v>
      </c>
      <c r="U125" s="35">
        <f t="shared" si="25"/>
        <v>0.99941239202994869</v>
      </c>
      <c r="V125" s="35">
        <f t="shared" si="25"/>
        <v>0.99957781285528069</v>
      </c>
      <c r="W125" s="35">
        <f t="shared" si="25"/>
        <v>0.99969670079069983</v>
      </c>
      <c r="X125" s="35">
        <f t="shared" si="25"/>
        <v>0.99978212828101476</v>
      </c>
      <c r="Y125" s="35">
        <f t="shared" si="25"/>
        <v>0.99984350369848729</v>
      </c>
      <c r="Z125" s="35">
        <f t="shared" si="25"/>
        <v>0.99988759429436791</v>
      </c>
      <c r="AA125" s="35">
        <f t="shared" si="25"/>
        <v>0.99991926552449473</v>
      </c>
      <c r="AB125" s="35">
        <f t="shared" si="25"/>
        <v>0.99994201443051567</v>
      </c>
      <c r="AC125" s="35">
        <f t="shared" si="25"/>
        <v>0.9999583539510366</v>
      </c>
      <c r="AD125" s="35">
        <f t="shared" si="25"/>
        <v>0.99997008957101308</v>
      </c>
      <c r="AE125" s="35">
        <f t="shared" si="25"/>
        <v>0.99997851833908569</v>
      </c>
      <c r="AF125" s="35">
        <f t="shared" si="25"/>
        <v>0.99998457197012469</v>
      </c>
      <c r="AG125" s="35">
        <f t="shared" si="25"/>
        <v>0.99998891970769976</v>
      </c>
      <c r="AH125" s="35">
        <f t="shared" si="25"/>
        <v>0.99999204224394289</v>
      </c>
      <c r="AI125" s="35">
        <f t="shared" si="25"/>
        <v>0.99999428483118935</v>
      </c>
      <c r="AJ125" s="35">
        <f t="shared" si="25"/>
        <v>0.99999589543807899</v>
      </c>
      <c r="AK125" s="35">
        <f t="shared" si="25"/>
        <v>0.9999970521589403</v>
      </c>
      <c r="AL125" s="35">
        <f t="shared" si="25"/>
        <v>0.99999788290201519</v>
      </c>
      <c r="AM125" s="35">
        <f t="shared" si="25"/>
        <v>0.99999847953090393</v>
      </c>
      <c r="AN125" s="35">
        <f t="shared" si="25"/>
        <v>0.99999890802158953</v>
      </c>
      <c r="AO125" s="35">
        <f t="shared" si="25"/>
        <v>0.99999921575749962</v>
      </c>
      <c r="AP125" s="35">
        <f t="shared" si="25"/>
        <v>0.99999943676893321</v>
      </c>
      <c r="AQ125" s="35">
        <f t="shared" si="25"/>
        <v>0.99999959549605555</v>
      </c>
      <c r="AR125" s="35">
        <f t="shared" si="25"/>
        <v>0.99999970949148187</v>
      </c>
      <c r="AS125" s="35">
        <f t="shared" si="25"/>
        <v>0.99999977223680891</v>
      </c>
    </row>
    <row r="126" spans="1:45" ht="14" thickTop="1" thickBot="1">
      <c r="A126" s="31"/>
      <c r="B126" s="34" t="s">
        <v>44</v>
      </c>
      <c r="C126" s="35">
        <f>Parameters!$G$3/((((Parameters!$G$3+((Parameters!$K$17+Parameters!$G$17)/2))^2)+((1/(2*PI()*C121*(Parameters!$H$3/1000000000)))^2))^0.5)</f>
        <v>0.28693098246674653</v>
      </c>
      <c r="D126" s="35">
        <f>Parameters!$G$3/((((Parameters!$G$3+((Parameters!$K$17+Parameters!$G$17)/2))^2)+((1/(2*PI()*D121*(Parameters!$H$3/1000000000)))^2))^0.5)</f>
        <v>0.33151433642400008</v>
      </c>
      <c r="E126" s="35">
        <f>Parameters!$G$3/((((Parameters!$G$3+((Parameters!$K$17+Parameters!$G$17)/2))^2)+((1/(2*PI()*E121*(Parameters!$H$3/1000000000)))^2))^0.5)</f>
        <v>0.38040373097279256</v>
      </c>
      <c r="F126" s="35">
        <f>Parameters!$G$3/((((Parameters!$G$3+((Parameters!$K$17+Parameters!$G$17)/2))^2)+((1/(2*PI()*F121*(Parameters!$H$3/1000000000)))^2))^0.5)</f>
        <v>0.43279278336460503</v>
      </c>
      <c r="G126" s="35">
        <f>Parameters!$G$3/((((Parameters!$G$3+((Parameters!$K$17+Parameters!$G$17)/2))^2)+((1/(2*PI()*G121*(Parameters!$H$3/1000000000)))^2))^0.5)</f>
        <v>0.48737361658570638</v>
      </c>
      <c r="H126" s="35">
        <f>Parameters!$G$3/((((Parameters!$G$3+((Parameters!$K$17+Parameters!$G$17)/2))^2)+((1/(2*PI()*H121*(Parameters!$H$3/1000000000)))^2))^0.5)</f>
        <v>0.54238646480616692</v>
      </c>
      <c r="I126" s="35">
        <f>Parameters!$G$3/((((Parameters!$G$3+((Parameters!$K$17+Parameters!$G$17)/2))^2)+((1/(2*PI()*I121*(Parameters!$H$3/1000000000)))^2))^0.5)</f>
        <v>0.59580686074647915</v>
      </c>
      <c r="J126" s="35">
        <f>Parameters!$G$3/((((Parameters!$G$3+((Parameters!$K$17+Parameters!$G$17)/2))^2)+((1/(2*PI()*J121*(Parameters!$H$3/1000000000)))^2))^0.5)</f>
        <v>0.64564983497430906</v>
      </c>
      <c r="K126" s="35">
        <f>Parameters!$G$3/((((Parameters!$G$3+((Parameters!$K$17+Parameters!$G$17)/2))^2)+((1/(2*PI()*K121*(Parameters!$H$3/1000000000)))^2))^0.5)</f>
        <v>0.69030262003268472</v>
      </c>
      <c r="L126" s="35">
        <f>Parameters!$G$3/((((Parameters!$G$3+((Parameters!$K$17+Parameters!$G$17)/2))^2)+((1/(2*PI()*L121*(Parameters!$H$3/1000000000)))^2))^0.5)</f>
        <v>0.72876665491132231</v>
      </c>
      <c r="M126" s="35">
        <f>Parameters!$G$3/((((Parameters!$G$3+((Parameters!$K$17+Parameters!$G$17)/2))^2)+((1/(2*PI()*M121*(Parameters!$H$3/1000000000)))^2))^0.5)</f>
        <v>0.76072879955243788</v>
      </c>
      <c r="N126" s="35">
        <f>Parameters!$G$3/((((Parameters!$G$3+((Parameters!$K$17+Parameters!$G$17)/2))^2)+((1/(2*PI()*N121*(Parameters!$H$3/1000000000)))^2))^0.5)</f>
        <v>0.78646523346202513</v>
      </c>
      <c r="O126" s="35">
        <f>Parameters!$G$3/((((Parameters!$G$3+((Parameters!$K$17+Parameters!$G$17)/2))^2)+((1/(2*PI()*O121*(Parameters!$H$3/1000000000)))^2))^0.5)</f>
        <v>0.80664849253374493</v>
      </c>
      <c r="P126" s="35">
        <f>Parameters!$G$3/((((Parameters!$G$3+((Parameters!$K$17+Parameters!$G$17)/2))^2)+((1/(2*PI()*P121*(Parameters!$H$3/1000000000)))^2))^0.5)</f>
        <v>0.82214176875924394</v>
      </c>
      <c r="Q126" s="35">
        <f>Parameters!$G$3/((((Parameters!$G$3+((Parameters!$K$17+Parameters!$G$17)/2))^2)+((1/(2*PI()*Q121*(Parameters!$H$3/1000000000)))^2))^0.5)</f>
        <v>0.83383629879675658</v>
      </c>
      <c r="R126" s="35">
        <f>Parameters!$G$3/((((Parameters!$G$3+((Parameters!$K$17+Parameters!$G$17)/2))^2)+((1/(2*PI()*R121*(Parameters!$H$3/1000000000)))^2))^0.5)</f>
        <v>0.84254988817932508</v>
      </c>
      <c r="S126" s="35">
        <f>Parameters!$G$3/((((Parameters!$G$3+((Parameters!$K$17+Parameters!$G$17)/2))^2)+((1/(2*PI()*S121*(Parameters!$H$3/1000000000)))^2))^0.5)</f>
        <v>0.84897913555004967</v>
      </c>
      <c r="T126" s="35">
        <f>Parameters!$G$3/((((Parameters!$G$3+((Parameters!$K$17+Parameters!$G$17)/2))^2)+((1/(2*PI()*T121*(Parameters!$H$3/1000000000)))^2))^0.5)</f>
        <v>0.85368840164639803</v>
      </c>
      <c r="U126" s="35">
        <f>Parameters!$G$3/((((Parameters!$G$3+((Parameters!$K$17+Parameters!$G$17)/2))^2)+((1/(2*PI()*U121*(Parameters!$H$3/1000000000)))^2))^0.5)</f>
        <v>0.85711928838308782</v>
      </c>
      <c r="V126" s="35">
        <f>Parameters!$G$3/((((Parameters!$G$3+((Parameters!$K$17+Parameters!$G$17)/2))^2)+((1/(2*PI()*V121*(Parameters!$H$3/1000000000)))^2))^0.5)</f>
        <v>0.85960897752427368</v>
      </c>
      <c r="W126" s="35">
        <f>Parameters!$G$3/((((Parameters!$G$3+((Parameters!$K$17+Parameters!$G$17)/2))^2)+((1/(2*PI()*W121*(Parameters!$H$3/1000000000)))^2))^0.5)</f>
        <v>0.86141047912618063</v>
      </c>
      <c r="X126" s="35">
        <f>Parameters!$G$3/((((Parameters!$G$3+((Parameters!$K$17+Parameters!$G$17)/2))^2)+((1/(2*PI()*X121*(Parameters!$H$3/1000000000)))^2))^0.5)</f>
        <v>0.86271130021366804</v>
      </c>
      <c r="Y126" s="35">
        <f>Parameters!$G$3/((((Parameters!$G$3+((Parameters!$K$17+Parameters!$G$17)/2))^2)+((1/(2*PI()*Y121*(Parameters!$H$3/1000000000)))^2))^0.5)</f>
        <v>0.86364917407145603</v>
      </c>
      <c r="Z126" s="35">
        <f>Parameters!$G$3/((((Parameters!$G$3+((Parameters!$K$17+Parameters!$G$17)/2))^2)+((1/(2*PI()*Z121*(Parameters!$H$3/1000000000)))^2))^0.5)</f>
        <v>0.86432463082892741</v>
      </c>
      <c r="AA126" s="35">
        <f>Parameters!$G$3/((((Parameters!$G$3+((Parameters!$K$17+Parameters!$G$17)/2))^2)+((1/(2*PI()*AA121*(Parameters!$H$3/1000000000)))^2))^0.5)</f>
        <v>0.86481071233749973</v>
      </c>
      <c r="AB126" s="35">
        <f>Parameters!$G$3/((((Parameters!$G$3+((Parameters!$K$17+Parameters!$G$17)/2))^2)+((1/(2*PI()*AB121*(Parameters!$H$3/1000000000)))^2))^0.5)</f>
        <v>0.86516031493020329</v>
      </c>
      <c r="AC126" s="35">
        <f>Parameters!$G$3/((((Parameters!$G$3+((Parameters!$K$17+Parameters!$G$17)/2))^2)+((1/(2*PI()*AC121*(Parameters!$H$3/1000000000)))^2))^0.5)</f>
        <v>0.86541165582329793</v>
      </c>
      <c r="AD126" s="35">
        <f>Parameters!$G$3/((((Parameters!$G$3+((Parameters!$K$17+Parameters!$G$17)/2))^2)+((1/(2*PI()*AD121*(Parameters!$H$3/1000000000)))^2))^0.5)</f>
        <v>0.86559230015272115</v>
      </c>
      <c r="AE126" s="35">
        <f>Parameters!$G$3/((((Parameters!$G$3+((Parameters!$K$17+Parameters!$G$17)/2))^2)+((1/(2*PI()*AE121*(Parameters!$H$3/1000000000)))^2))^0.5)</f>
        <v>0.86572210591452103</v>
      </c>
      <c r="AF126" s="35">
        <f>Parameters!$G$3/((((Parameters!$G$3+((Parameters!$K$17+Parameters!$G$17)/2))^2)+((1/(2*PI()*AF121*(Parameters!$H$3/1000000000)))^2))^0.5)</f>
        <v>0.86581536643041646</v>
      </c>
      <c r="AG126" s="35">
        <f>Parameters!$G$3/((((Parameters!$G$3+((Parameters!$K$17+Parameters!$G$17)/2))^2)+((1/(2*PI()*AG121*(Parameters!$H$3/1000000000)))^2))^0.5)</f>
        <v>0.86588236327967927</v>
      </c>
      <c r="AH126" s="35">
        <f>Parameters!$G$3/((((Parameters!$G$3+((Parameters!$K$17+Parameters!$G$17)/2))^2)+((1/(2*PI()*AH121*(Parameters!$H$3/1000000000)))^2))^0.5)</f>
        <v>0.865930488970584</v>
      </c>
      <c r="AI126" s="35">
        <f>Parameters!$G$3/((((Parameters!$G$3+((Parameters!$K$17+Parameters!$G$17)/2))^2)+((1/(2*PI()*AI121*(Parameters!$H$3/1000000000)))^2))^0.5)</f>
        <v>0.86596505704387483</v>
      </c>
      <c r="AJ126" s="35">
        <f>Parameters!$G$3/((((Parameters!$G$3+((Parameters!$K$17+Parameters!$G$17)/2))^2)+((1/(2*PI()*AJ121*(Parameters!$H$3/1000000000)))^2))^0.5)</f>
        <v>0.86598988585029069</v>
      </c>
      <c r="AK126" s="35">
        <f>Parameters!$G$3/((((Parameters!$G$3+((Parameters!$K$17+Parameters!$G$17)/2))^2)+((1/(2*PI()*AK121*(Parameters!$H$3/1000000000)))^2))^0.5)</f>
        <v>0.86600771883020111</v>
      </c>
      <c r="AL126" s="35">
        <f>Parameters!$G$3/((((Parameters!$G$3+((Parameters!$K$17+Parameters!$G$17)/2))^2)+((1/(2*PI()*AL121*(Parameters!$H$3/1000000000)))^2))^0.5)</f>
        <v>0.86602052687845354</v>
      </c>
      <c r="AM126" s="35">
        <f>Parameters!$G$3/((((Parameters!$G$3+((Parameters!$K$17+Parameters!$G$17)/2))^2)+((1/(2*PI()*AM121*(Parameters!$H$3/1000000000)))^2))^0.5)</f>
        <v>0.86602972576991555</v>
      </c>
      <c r="AN126" s="35">
        <f>Parameters!$G$3/((((Parameters!$G$3+((Parameters!$K$17+Parameters!$G$17)/2))^2)+((1/(2*PI()*AN121*(Parameters!$H$3/1000000000)))^2))^0.5)</f>
        <v>0.86603633245139666</v>
      </c>
      <c r="AO126" s="35">
        <f>Parameters!$G$3/((((Parameters!$G$3+((Parameters!$K$17+Parameters!$G$17)/2))^2)+((1/(2*PI()*AO121*(Parameters!$H$3/1000000000)))^2))^0.5)</f>
        <v>0.86604107736045877</v>
      </c>
      <c r="AP126" s="35">
        <f>Parameters!$G$3/((((Parameters!$G$3+((Parameters!$K$17+Parameters!$G$17)/2))^2)+((1/(2*PI()*AP121*(Parameters!$H$3/1000000000)))^2))^0.5)</f>
        <v>0.86604448512838739</v>
      </c>
      <c r="AQ126" s="35">
        <f>Parameters!$G$3/((((Parameters!$G$3+((Parameters!$K$17+Parameters!$G$17)/2))^2)+((1/(2*PI()*AQ121*(Parameters!$H$3/1000000000)))^2))^0.5)</f>
        <v>0.86604693255907383</v>
      </c>
      <c r="AR126" s="35">
        <f>Parameters!$G$3/((((Parameters!$G$3+((Parameters!$K$17+Parameters!$G$17)/2))^2)+((1/(2*PI()*AR121*(Parameters!$H$3/1000000000)))^2))^0.5)</f>
        <v>0.86604869027848774</v>
      </c>
      <c r="AS126" s="35">
        <f>Parameters!$G$3/((((Parameters!$G$3+((Parameters!$K$17+Parameters!$G$17)/2))^2)+((1/(2*PI()*AS121*(Parameters!$H$3/1000000000)))^2))^0.5)</f>
        <v>0.86604965776599629</v>
      </c>
    </row>
    <row r="127" spans="1:45" ht="14" thickTop="1" thickBot="1">
      <c r="A127" s="31"/>
      <c r="B127" s="34" t="s">
        <v>46</v>
      </c>
      <c r="C127" s="35">
        <f>(((1/(2*PI()*C121*(Parameters!$H$17/1000000000000)))^2)/((Parameters!$E$3^2)+((1/(2*PI()*C121*(Parameters!$H$17/1000000000000)))^2)))^0.5</f>
        <v>0.9999809267653621</v>
      </c>
      <c r="D127" s="35">
        <f>(((1/(2*PI()*D121*(Parameters!$H$17/1000000000000)))^2)/((Parameters!$E$3^2)+((1/(2*PI()*D121*(Parameters!$H$17/1000000000000)))^2)))^0.5</f>
        <v>0.99997344272623323</v>
      </c>
      <c r="E127" s="35">
        <f>(((1/(2*PI()*E121*(Parameters!$H$17/1000000000000)))^2)/((Parameters!$E$3^2)+((1/(2*PI()*E121*(Parameters!$H$17/1000000000000)))^2)))^0.5</f>
        <v>0.9999630222300232</v>
      </c>
      <c r="F127" s="35">
        <f>(((1/(2*PI()*F121*(Parameters!$H$17/1000000000000)))^2)/((Parameters!$E$3^2)+((1/(2*PI()*F121*(Parameters!$H$17/1000000000000)))^2)))^0.5</f>
        <v>0.99994851327368228</v>
      </c>
      <c r="G127" s="35">
        <f>(((1/(2*PI()*G121*(Parameters!$H$17/1000000000000)))^2)/((Parameters!$E$3^2)+((1/(2*PI()*G121*(Parameters!$H$17/1000000000000)))^2)))^0.5</f>
        <v>0.99992831205474009</v>
      </c>
      <c r="H127" s="35">
        <f>(((1/(2*PI()*H121*(Parameters!$H$17/1000000000000)))^2)/((Parameters!$E$3^2)+((1/(2*PI()*H121*(Parameters!$H$17/1000000000000)))^2)))^0.5</f>
        <v>0.99990018591660723</v>
      </c>
      <c r="I127" s="35">
        <f>(((1/(2*PI()*I121*(Parameters!$H$17/1000000000000)))^2)/((Parameters!$E$3^2)+((1/(2*PI()*I121*(Parameters!$H$17/1000000000000)))^2)))^0.5</f>
        <v>0.99986102703469981</v>
      </c>
      <c r="J127" s="35">
        <f>(((1/(2*PI()*J121*(Parameters!$H$17/1000000000000)))^2)/((Parameters!$E$3^2)+((1/(2*PI()*J121*(Parameters!$H$17/1000000000000)))^2)))^0.5</f>
        <v>0.9998065098696326</v>
      </c>
      <c r="K127" s="35">
        <f>(((1/(2*PI()*K121*(Parameters!$H$17/1000000000000)))^2)/((Parameters!$E$3^2)+((1/(2*PI()*K121*(Parameters!$H$17/1000000000000)))^2)))^0.5</f>
        <v>0.99973061501990446</v>
      </c>
      <c r="L127" s="35">
        <f>(((1/(2*PI()*L121*(Parameters!$H$17/1000000000000)))^2)/((Parameters!$E$3^2)+((1/(2*PI()*L121*(Parameters!$H$17/1000000000000)))^2)))^0.5</f>
        <v>0.9996249678124316</v>
      </c>
      <c r="M127" s="35">
        <f>(((1/(2*PI()*M121*(Parameters!$H$17/1000000000000)))^2)/((Parameters!$E$3^2)+((1/(2*PI()*M121*(Parameters!$H$17/1000000000000)))^2)))^0.5</f>
        <v>0.9994779204107066</v>
      </c>
      <c r="N127" s="35">
        <f>(((1/(2*PI()*N121*(Parameters!$H$17/1000000000000)))^2)/((Parameters!$E$3^2)+((1/(2*PI()*N121*(Parameters!$H$17/1000000000000)))^2)))^0.5</f>
        <v>0.99927327965167678</v>
      </c>
      <c r="O127" s="35">
        <f>(((1/(2*PI()*O121*(Parameters!$H$17/1000000000000)))^2)/((Parameters!$E$3^2)+((1/(2*PI()*O121*(Parameters!$H$17/1000000000000)))^2)))^0.5</f>
        <v>0.99898854710820006</v>
      </c>
      <c r="P127" s="35">
        <f>(((1/(2*PI()*P121*(Parameters!$H$17/1000000000000)))^2)/((Parameters!$E$3^2)+((1/(2*PI()*P121*(Parameters!$H$17/1000000000000)))^2)))^0.5</f>
        <v>0.99859249060391286</v>
      </c>
      <c r="Q127" s="35">
        <f>(((1/(2*PI()*Q121*(Parameters!$H$17/1000000000000)))^2)/((Parameters!$E$3^2)+((1/(2*PI()*Q121*(Parameters!$H$17/1000000000000)))^2)))^0.5</f>
        <v>0.99804180529287156</v>
      </c>
      <c r="R127" s="35">
        <f>(((1/(2*PI()*R121*(Parameters!$H$17/1000000000000)))^2)/((Parameters!$E$3^2)+((1/(2*PI()*R121*(Parameters!$H$17/1000000000000)))^2)))^0.5</f>
        <v>0.99727654627513229</v>
      </c>
      <c r="S127" s="35">
        <f>(((1/(2*PI()*S121*(Parameters!$H$17/1000000000000)))^2)/((Parameters!$E$3^2)+((1/(2*PI()*S121*(Parameters!$H$17/1000000000000)))^2)))^0.5</f>
        <v>0.99621392561971034</v>
      </c>
      <c r="T127" s="35">
        <f>(((1/(2*PI()*T121*(Parameters!$H$17/1000000000000)))^2)/((Parameters!$E$3^2)+((1/(2*PI()*T121*(Parameters!$H$17/1000000000000)))^2)))^0.5</f>
        <v>0.99473997423786009</v>
      </c>
      <c r="U127" s="35">
        <f>(((1/(2*PI()*U121*(Parameters!$H$17/1000000000000)))^2)/((Parameters!$E$3^2)+((1/(2*PI()*U121*(Parameters!$H$17/1000000000000)))^2)))^0.5</f>
        <v>0.9926984986154791</v>
      </c>
      <c r="V127" s="35">
        <f>(((1/(2*PI()*V121*(Parameters!$H$17/1000000000000)))^2)/((Parameters!$E$3^2)+((1/(2*PI()*V121*(Parameters!$H$17/1000000000000)))^2)))^0.5</f>
        <v>0.98987676933673951</v>
      </c>
      <c r="W127" s="35">
        <f>(((1/(2*PI()*W121*(Parameters!$H$17/1000000000000)))^2)/((Parameters!$E$3^2)+((1/(2*PI()*W121*(Parameters!$H$17/1000000000000)))^2)))^0.5</f>
        <v>0.98598757118353431</v>
      </c>
      <c r="X127" s="35">
        <f>(((1/(2*PI()*X121*(Parameters!$H$17/1000000000000)))^2)/((Parameters!$E$3^2)+((1/(2*PI()*X121*(Parameters!$H$17/1000000000000)))^2)))^0.5</f>
        <v>0.9806478174665848</v>
      </c>
      <c r="Y127" s="35">
        <f>(((1/(2*PI()*Y121*(Parameters!$H$17/1000000000000)))^2)/((Parameters!$E$3^2)+((1/(2*PI()*Y121*(Parameters!$H$17/1000000000000)))^2)))^0.5</f>
        <v>0.97335519578961183</v>
      </c>
      <c r="Z127" s="35">
        <f>(((1/(2*PI()*Z121*(Parameters!$H$17/1000000000000)))^2)/((Parameters!$E$3^2)+((1/(2*PI()*Z121*(Parameters!$H$17/1000000000000)))^2)))^0.5</f>
        <v>0.96346669340407565</v>
      </c>
      <c r="AA127" s="35">
        <f>(((1/(2*PI()*AA121*(Parameters!$H$17/1000000000000)))^2)/((Parameters!$E$3^2)+((1/(2*PI()*AA121*(Parameters!$H$17/1000000000000)))^2)))^0.5</f>
        <v>0.95018675168680544</v>
      </c>
      <c r="AB127" s="35">
        <f>(((1/(2*PI()*AB121*(Parameters!$H$17/1000000000000)))^2)/((Parameters!$E$3^2)+((1/(2*PI()*AB121*(Parameters!$H$17/1000000000000)))^2)))^0.5</f>
        <v>0.93257816687998718</v>
      </c>
      <c r="AC127" s="35">
        <f>(((1/(2*PI()*AC121*(Parameters!$H$17/1000000000000)))^2)/((Parameters!$E$3^2)+((1/(2*PI()*AC121*(Parameters!$H$17/1000000000000)))^2)))^0.5</f>
        <v>0.90961424092710874</v>
      </c>
      <c r="AD127" s="35">
        <f>(((1/(2*PI()*AD121*(Parameters!$H$17/1000000000000)))^2)/((Parameters!$E$3^2)+((1/(2*PI()*AD121*(Parameters!$H$17/1000000000000)))^2)))^0.5</f>
        <v>0.88029195351515188</v>
      </c>
      <c r="AE127" s="35">
        <f>(((1/(2*PI()*AE121*(Parameters!$H$17/1000000000000)))^2)/((Parameters!$E$3^2)+((1/(2*PI()*AE121*(Parameters!$H$17/1000000000000)))^2)))^0.5</f>
        <v>0.84381583971997864</v>
      </c>
      <c r="AF127" s="35">
        <f>(((1/(2*PI()*AF121*(Parameters!$H$17/1000000000000)))^2)/((Parameters!$E$3^2)+((1/(2*PI()*AF121*(Parameters!$H$17/1000000000000)))^2)))^0.5</f>
        <v>0.79983394792222984</v>
      </c>
      <c r="AG127" s="35">
        <f>(((1/(2*PI()*AG121*(Parameters!$H$17/1000000000000)))^2)/((Parameters!$E$3^2)+((1/(2*PI()*AG121*(Parameters!$H$17/1000000000000)))^2)))^0.5</f>
        <v>0.74866398368591425</v>
      </c>
      <c r="AH127" s="35">
        <f>(((1/(2*PI()*AH121*(Parameters!$H$17/1000000000000)))^2)/((Parameters!$E$3^2)+((1/(2*PI()*AH121*(Parameters!$H$17/1000000000000)))^2)))^0.5</f>
        <v>0.69141340857148048</v>
      </c>
      <c r="AI127" s="35">
        <f>(((1/(2*PI()*AI121*(Parameters!$H$17/1000000000000)))^2)/((Parameters!$E$3^2)+((1/(2*PI()*AI121*(Parameters!$H$17/1000000000000)))^2)))^0.5</f>
        <v>0.62990944391943637</v>
      </c>
      <c r="AJ127" s="35">
        <f>(((1/(2*PI()*AJ121*(Parameters!$H$17/1000000000000)))^2)/((Parameters!$E$3^2)+((1/(2*PI()*AJ121*(Parameters!$H$17/1000000000000)))^2)))^0.5</f>
        <v>0.56642932148808467</v>
      </c>
      <c r="AK127" s="35">
        <f>(((1/(2*PI()*AK121*(Parameters!$H$17/1000000000000)))^2)/((Parameters!$E$3^2)+((1/(2*PI()*AK121*(Parameters!$H$17/1000000000000)))^2)))^0.5</f>
        <v>0.50331846951019965</v>
      </c>
      <c r="AL127" s="35">
        <f>(((1/(2*PI()*AL121*(Parameters!$H$17/1000000000000)))^2)/((Parameters!$E$3^2)+((1/(2*PI()*AL121*(Parameters!$H$17/1000000000000)))^2)))^0.5</f>
        <v>0.44263392285700526</v>
      </c>
      <c r="AM127" s="35">
        <f>(((1/(2*PI()*AM121*(Parameters!$H$17/1000000000000)))^2)/((Parameters!$E$3^2)+((1/(2*PI()*AM121*(Parameters!$H$17/1000000000000)))^2)))^0.5</f>
        <v>0.38591895802741905</v>
      </c>
      <c r="AN127" s="35">
        <f>(((1/(2*PI()*AN121*(Parameters!$H$17/1000000000000)))^2)/((Parameters!$E$3^2)+((1/(2*PI()*AN121*(Parameters!$H$17/1000000000000)))^2)))^0.5</f>
        <v>0.33413729415545046</v>
      </c>
      <c r="AO127" s="35">
        <f>(((1/(2*PI()*AO121*(Parameters!$H$17/1000000000000)))^2)/((Parameters!$E$3^2)+((1/(2*PI()*AO121*(Parameters!$H$17/1000000000000)))^2)))^0.5</f>
        <v>0.2877299535620168</v>
      </c>
      <c r="AP127" s="35">
        <f>(((1/(2*PI()*AP121*(Parameters!$H$17/1000000000000)))^2)/((Parameters!$E$3^2)+((1/(2*PI()*AP121*(Parameters!$H$17/1000000000000)))^2)))^0.5</f>
        <v>0.24673422071974105</v>
      </c>
      <c r="AQ127" s="35">
        <f>(((1/(2*PI()*AQ121*(Parameters!$H$17/1000000000000)))^2)/((Parameters!$E$3^2)+((1/(2*PI()*AQ121*(Parameters!$H$17/1000000000000)))^2)))^0.5</f>
        <v>0.21091387592548833</v>
      </c>
      <c r="AR127" s="35">
        <f>(((1/(2*PI()*AR121*(Parameters!$H$17/1000000000000)))^2)/((Parameters!$E$3^2)+((1/(2*PI()*AR121*(Parameters!$H$17/1000000000000)))^2)))^0.5</f>
        <v>0.17987160635055291</v>
      </c>
      <c r="AS127" s="35">
        <f>(((1/(2*PI()*AS121*(Parameters!$H$17/1000000000000)))^2)/((Parameters!$E$3^2)+((1/(2*PI()*AS121*(Parameters!$H$17/1000000000000)))^2)))^0.5</f>
        <v>0.1598260797398845</v>
      </c>
    </row>
    <row r="128" spans="1:45" ht="18" customHeight="1" thickTop="1" thickBot="1">
      <c r="A128" s="31"/>
      <c r="B128" s="34" t="s">
        <v>36</v>
      </c>
      <c r="C128" s="35">
        <f>Parameters!$E$17*C125*C126*C127</f>
        <v>7.9110094270248918</v>
      </c>
      <c r="D128" s="35">
        <f>Parameters!$E$17*D125*D126*D127</f>
        <v>9.453333222449217</v>
      </c>
      <c r="E128" s="35">
        <f>Parameters!$E$17*E125*E126*E127</f>
        <v>11.159080076900507</v>
      </c>
      <c r="F128" s="35">
        <f>Parameters!$E$17*F125*F126*F127</f>
        <v>12.991339271862294</v>
      </c>
      <c r="G128" s="35">
        <f>Parameters!$E$17*G125*G126*G127</f>
        <v>14.897656793151695</v>
      </c>
      <c r="H128" s="35">
        <f>Parameters!$E$17*H125*H126*H127</f>
        <v>16.812755609956405</v>
      </c>
      <c r="I128" s="35">
        <f>Parameters!$E$17*I125*I126*I127</f>
        <v>18.665034554196389</v>
      </c>
      <c r="J128" s="35">
        <f>Parameters!$E$17*J125*J126*J127</f>
        <v>20.386404436264648</v>
      </c>
      <c r="K128" s="35">
        <f>Parameters!$E$17*K125*K126*K127</f>
        <v>21.922801125828698</v>
      </c>
      <c r="L128" s="35">
        <f>Parameters!$E$17*L125*L126*L127</f>
        <v>23.241624808561461</v>
      </c>
      <c r="M128" s="35">
        <f>Parameters!$E$17*M125*M126*M127</f>
        <v>24.333566409038067</v>
      </c>
      <c r="N128" s="35">
        <f>Parameters!$E$17*N125*N126*N127</f>
        <v>25.208989514827874</v>
      </c>
      <c r="O128" s="35">
        <f>Parameters!$E$17*O125*O126*O127</f>
        <v>25.891214204665495</v>
      </c>
      <c r="P128" s="35">
        <f>Parameters!$E$17*P125*P126*P127</f>
        <v>26.409474120323097</v>
      </c>
      <c r="Q128" s="35">
        <f>Parameters!$E$17*Q125*Q126*Q127</f>
        <v>26.793363885714832</v>
      </c>
      <c r="R128" s="35">
        <f>Parameters!$E$17*R125*R126*R127</f>
        <v>27.069336234675738</v>
      </c>
      <c r="S128" s="35">
        <f>Parameters!$E$17*S125*S126*S127</f>
        <v>27.258965351211199</v>
      </c>
      <c r="T128" s="35">
        <f>Parameters!$E$17*T125*T126*T127</f>
        <v>27.378382212049893</v>
      </c>
      <c r="U128" s="35">
        <f>Parameters!$E$17*U125*U126*U127</f>
        <v>27.43831680445173</v>
      </c>
      <c r="V128" s="35">
        <f>Parameters!$E$17*V125*V126*V127</f>
        <v>27.444339622900198</v>
      </c>
      <c r="W128" s="35">
        <f>Parameters!$E$17*W125*W126*W127</f>
        <v>27.397059481500278</v>
      </c>
      <c r="X128" s="35">
        <f>Parameters!$E$17*X125*X126*X127</f>
        <v>27.292167284183964</v>
      </c>
      <c r="Y128" s="35">
        <f>Parameters!$E$17*Y125*Y126*Y127</f>
        <v>27.120322231309991</v>
      </c>
      <c r="Z128" s="35">
        <f>Parameters!$E$17*Z125*Z126*Z127</f>
        <v>26.866981601187522</v>
      </c>
      <c r="AA128" s="35">
        <f>Parameters!$E$17*AA125*AA126*AA127</f>
        <v>26.512401621316247</v>
      </c>
      <c r="AB128" s="35">
        <f>Parameters!$E$17*AB125*AB126*AB127</f>
        <v>26.032192844178002</v>
      </c>
      <c r="AC128" s="35">
        <f>Parameters!$E$17*AC125*AC126*AC127</f>
        <v>25.398964251982299</v>
      </c>
      <c r="AD128" s="35">
        <f>Parameters!$E$17*AD125*AD126*AD127</f>
        <v>24.585623640452248</v>
      </c>
      <c r="AE128" s="35">
        <f>Parameters!$E$17*AE125*AE126*AE127</f>
        <v>23.570617151180471</v>
      </c>
      <c r="AF128" s="35">
        <f>Parameters!$E$17*AF125*AF126*AF127</f>
        <v>22.344596927480794</v>
      </c>
      <c r="AG128" s="35">
        <f>Parameters!$E$17*AG125*AG126*AG127</f>
        <v>20.916794280985869</v>
      </c>
      <c r="AH128" s="35">
        <f>Parameters!$E$17*AH125*AH126*AH127</f>
        <v>19.318414285356219</v>
      </c>
      <c r="AI128" s="35">
        <f>Parameters!$E$17*AI125*AI126*AI127</f>
        <v>17.600706787581714</v>
      </c>
      <c r="AJ128" s="35">
        <f>Parameters!$E$17*AJ125*AJ126*AJ127</f>
        <v>15.82744694923319</v>
      </c>
      <c r="AK128" s="35">
        <f>Parameters!$E$17*AK125*AK126*AK127</f>
        <v>14.064278336541154</v>
      </c>
      <c r="AL128" s="35">
        <f>Parameters!$E$17*AL125*AL126*AL127</f>
        <v>12.368757183010976</v>
      </c>
      <c r="AM128" s="35">
        <f>Parameters!$E$17*AM125*AM126*AM127</f>
        <v>10.784061474123552</v>
      </c>
      <c r="AN128" s="35">
        <f>Parameters!$E$17*AN125*AN126*AN127</f>
        <v>9.3371576569849548</v>
      </c>
      <c r="AO128" s="35">
        <f>Parameters!$E$17*AO125*AO126*AO127</f>
        <v>8.0403939705306708</v>
      </c>
      <c r="AP128" s="35">
        <f>Parameters!$E$17*AP125*AP126*AP127</f>
        <v>6.8948281562858948</v>
      </c>
      <c r="AQ128" s="35">
        <f>Parameters!$E$17*AQ125*AQ126*AQ127</f>
        <v>5.8938693889213871</v>
      </c>
      <c r="AR128" s="35">
        <f>Parameters!$E$17*AR125*AR126*AR127</f>
        <v>5.0264214360160713</v>
      </c>
      <c r="AS128" s="35">
        <f>Parameters!$E$17*AS125*AS126*AS127</f>
        <v>4.4662645616711654</v>
      </c>
    </row>
    <row r="129" spans="1:45" ht="14" thickTop="1" thickBot="1">
      <c r="A129" s="31"/>
      <c r="B129" s="34" t="s">
        <v>37</v>
      </c>
      <c r="C129" s="35">
        <f t="shared" ref="C129:AS129" si="26">(LOG10(C128))*20</f>
        <v>17.964638040666316</v>
      </c>
      <c r="D129" s="35">
        <f t="shared" si="26"/>
        <v>19.511699333945046</v>
      </c>
      <c r="E129" s="35">
        <f t="shared" si="26"/>
        <v>20.952567881291088</v>
      </c>
      <c r="F129" s="35">
        <f t="shared" si="26"/>
        <v>22.273078492435307</v>
      </c>
      <c r="G129" s="35">
        <f t="shared" si="26"/>
        <v>23.462359298673849</v>
      </c>
      <c r="H129" s="35">
        <f t="shared" si="26"/>
        <v>24.512778002423758</v>
      </c>
      <c r="I129" s="35">
        <f t="shared" si="26"/>
        <v>25.420575965271034</v>
      </c>
      <c r="J129" s="35">
        <f t="shared" si="26"/>
        <v>26.186812714497719</v>
      </c>
      <c r="K129" s="35">
        <f t="shared" si="26"/>
        <v>26.817920882897059</v>
      </c>
      <c r="L129" s="35">
        <f t="shared" si="26"/>
        <v>27.325329721118173</v>
      </c>
      <c r="M129" s="35">
        <f t="shared" si="26"/>
        <v>27.724115305008461</v>
      </c>
      <c r="N129" s="35">
        <f t="shared" si="26"/>
        <v>28.031108752537527</v>
      </c>
      <c r="O129" s="35">
        <f t="shared" si="26"/>
        <v>28.263048355179613</v>
      </c>
      <c r="P129" s="35">
        <f t="shared" si="26"/>
        <v>28.435195067746442</v>
      </c>
      <c r="Q129" s="35">
        <f t="shared" si="26"/>
        <v>28.560544847223063</v>
      </c>
      <c r="R129" s="35">
        <f t="shared" si="26"/>
        <v>28.649552131921471</v>
      </c>
      <c r="S129" s="35">
        <f t="shared" si="26"/>
        <v>28.71018735221282</v>
      </c>
      <c r="T129" s="35">
        <f t="shared" si="26"/>
        <v>28.748155642111787</v>
      </c>
      <c r="U129" s="35">
        <f t="shared" si="26"/>
        <v>28.767149323668271</v>
      </c>
      <c r="V129" s="35">
        <f t="shared" si="26"/>
        <v>28.769055701382797</v>
      </c>
      <c r="W129" s="35">
        <f t="shared" si="26"/>
        <v>28.754079052401433</v>
      </c>
      <c r="X129" s="35">
        <f t="shared" si="26"/>
        <v>28.720760491476845</v>
      </c>
      <c r="Y129" s="35">
        <f t="shared" si="26"/>
        <v>28.66589690629613</v>
      </c>
      <c r="Z129" s="35">
        <f t="shared" si="26"/>
        <v>28.584377558226876</v>
      </c>
      <c r="AA129" s="35">
        <f t="shared" si="26"/>
        <v>28.468981400111403</v>
      </c>
      <c r="AB129" s="35">
        <f t="shared" si="26"/>
        <v>28.310215056394824</v>
      </c>
      <c r="AC129" s="35">
        <f t="shared" si="26"/>
        <v>28.096320136477317</v>
      </c>
      <c r="AD129" s="35">
        <f t="shared" si="26"/>
        <v>27.813624582132682</v>
      </c>
      <c r="AE129" s="35">
        <f t="shared" si="26"/>
        <v>27.447419076742975</v>
      </c>
      <c r="AF129" s="35">
        <f t="shared" si="26"/>
        <v>26.983450497224702</v>
      </c>
      <c r="AG129" s="35">
        <f t="shared" si="26"/>
        <v>26.409902501840129</v>
      </c>
      <c r="AH129" s="35">
        <f t="shared" si="26"/>
        <v>25.71942950641056</v>
      </c>
      <c r="AI129" s="35">
        <f t="shared" si="26"/>
        <v>24.910602160582307</v>
      </c>
      <c r="AJ129" s="35">
        <f t="shared" si="26"/>
        <v>23.988217330372908</v>
      </c>
      <c r="AK129" s="35">
        <f t="shared" si="26"/>
        <v>22.962349052813217</v>
      </c>
      <c r="AL129" s="35">
        <f t="shared" si="26"/>
        <v>21.846521275239645</v>
      </c>
      <c r="AM129" s="35">
        <f t="shared" si="26"/>
        <v>20.655647097542516</v>
      </c>
      <c r="AN129" s="35">
        <f t="shared" si="26"/>
        <v>19.404293837764051</v>
      </c>
      <c r="AO129" s="35">
        <f t="shared" si="26"/>
        <v>18.105546584510311</v>
      </c>
      <c r="AP129" s="35">
        <f t="shared" si="26"/>
        <v>16.770468929579472</v>
      </c>
      <c r="AQ129" s="35">
        <f t="shared" si="26"/>
        <v>15.408010148774141</v>
      </c>
      <c r="AR129" s="35">
        <f t="shared" si="26"/>
        <v>14.025177976667774</v>
      </c>
      <c r="AS129" s="35">
        <f t="shared" si="26"/>
        <v>12.998888903462655</v>
      </c>
    </row>
    <row r="130" spans="1:45" ht="13" thickTop="1"/>
    <row r="131" spans="1:45" ht="13" thickBot="1"/>
    <row r="132" spans="1:45" ht="26" thickTop="1" thickBot="1">
      <c r="A132" s="17" t="s">
        <v>18</v>
      </c>
      <c r="B132" s="3">
        <v>0</v>
      </c>
      <c r="C132" s="3">
        <f>Parameters!A3</f>
        <v>240</v>
      </c>
    </row>
    <row r="133" spans="1:45" ht="26" thickTop="1" thickBot="1">
      <c r="A133" s="17" t="s">
        <v>19</v>
      </c>
      <c r="B133" s="4">
        <f>(Parameters!A3/(Parameters!$B$3+Parameters!C3))*1000</f>
        <v>2.3645320197044333</v>
      </c>
      <c r="C133" s="3">
        <v>0</v>
      </c>
    </row>
    <row r="134" spans="1:45" ht="13" thickTop="1"/>
  </sheetData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6</vt:i4>
      </vt:variant>
    </vt:vector>
  </HeadingPairs>
  <TitlesOfParts>
    <vt:vector size="9" baseType="lpstr">
      <vt:lpstr>Parameters</vt:lpstr>
      <vt:lpstr>Valve Spec</vt:lpstr>
      <vt:lpstr>Graph Data</vt:lpstr>
      <vt:lpstr>ECC81</vt:lpstr>
      <vt:lpstr>ECC82</vt:lpstr>
      <vt:lpstr>ECC83</vt:lpstr>
      <vt:lpstr>E88CC</vt:lpstr>
      <vt:lpstr>12AY7</vt:lpstr>
      <vt:lpstr>Freq' Response</vt:lpstr>
    </vt:vector>
  </TitlesOfParts>
  <Company>MERLIN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Merlin Blencowe</dc:creator>
  <cp:lastModifiedBy>Peter Matich</cp:lastModifiedBy>
  <dcterms:created xsi:type="dcterms:W3CDTF">2006-05-17T13:40:09Z</dcterms:created>
  <dcterms:modified xsi:type="dcterms:W3CDTF">2019-08-28T09:21:39Z</dcterms:modified>
</cp:coreProperties>
</file>